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codeName="ThisWorkbook" defaultThemeVersion="124226"/>
  <mc:AlternateContent xmlns:mc="http://schemas.openxmlformats.org/markup-compatibility/2006">
    <mc:Choice Requires="x15">
      <x15ac:absPath xmlns:x15ac="http://schemas.microsoft.com/office/spreadsheetml/2010/11/ac" url="/Users/omoye/Downloads/"/>
    </mc:Choice>
  </mc:AlternateContent>
  <xr:revisionPtr revIDLastSave="0" documentId="8_{3938E3A1-3C84-9340-AAFC-8BACAC4017F9}" xr6:coauthVersionLast="46" xr6:coauthVersionMax="46" xr10:uidLastSave="{00000000-0000-0000-0000-000000000000}"/>
  <workbookProtection workbookAlgorithmName="SHA-512" workbookHashValue="C56rZ7OlS9ciXEK1WITrN/i2/vcAsDxdFW/rGUDFwbukI8SPmpRWmdDHRZKr+4i+GJ0Ng54Gg9Nrj0Q/XFqWag==" workbookSaltValue="235z2tt24JPD4J3KAYKN8g==" workbookSpinCount="100000" lockStructure="1"/>
  <bookViews>
    <workbookView xWindow="9440" yWindow="3720" windowWidth="21940" windowHeight="15860" xr2:uid="{00000000-000D-0000-FFFF-FFFF00000000}"/>
  </bookViews>
  <sheets>
    <sheet name="Pricelist _ Feb 01.2021" sheetId="1" r:id="rId1"/>
    <sheet name="Daily Valuation Metrics" sheetId="4" r:id="rId2"/>
  </sheets>
  <externalReferences>
    <externalReference r:id="rId3"/>
  </externalReferences>
  <definedNames>
    <definedName name="_xlnm._FilterDatabase" localSheetId="0" hidden="1">'Pricelist _ Feb 01.2021'!$B$5:$K$5</definedName>
    <definedName name="Company_Name" localSheetId="1">'Daily Valuation Metrics'!#REF!</definedName>
    <definedName name="Company_Name">#REF!</definedName>
    <definedName name="FYMonthNo" localSheetId="1">IF('Daily Valuation Metrics'!FYMonthStart="JAN",1,IF('Daily Valuation Metrics'!FYMonthStart="FEB",2,IF('Daily Valuation Metrics'!FYMonthStart="MAR",3,IF('Daily Valuation Metrics'!FYMonthStart="APR",4,IF('Daily Valuation Metrics'!FYMonthStart="MAY",5,IF('Daily Valuation Metrics'!FYMonthStart="JUN",6,IF('Daily Valuation Metrics'!FYMonthStart="JUL",7,IF('Daily Valuation Metrics'!FYMonthStart="AUG",8,IF('Daily Valuation Metrics'!FYMonthStart="SEP",9,IF('Daily Valuation Metrics'!FYMonthStart="OCT",10,IF('Daily Valuation Metrics'!FYMonthStart="NOV",11,12)))))))))))</definedName>
    <definedName name="FYMonthNo">IF(FYMonthStart="JAN",1,IF(FYMonthStart="FEB",2,IF(FYMonthStart="MAR",3,IF(FYMonthStart="APR",4,IF(FYMonthStart="MAY",5,IF(FYMonthStart="JUN",6,IF(FYMonthStart="JUL",7,IF(FYMonthStart="AUG",8,IF(FYMonthStart="SEP",9,IF(FYMonthStart="OCT",10,IF(FYMonthStart="NOV",11,12)))))))))))</definedName>
    <definedName name="FYMonthStart" localSheetId="1">'Daily Valuation Metrics'!#REF!</definedName>
    <definedName name="FYMonthStart">#REF!</definedName>
    <definedName name="FYStartYear" localSheetId="1">'Daily Valuation Metrics'!#REF!</definedName>
    <definedName name="FYStartYear">#REF!</definedName>
    <definedName name="_xlnm.Print_Area" localSheetId="1">'Daily Valuation Metrics'!$A$1:$R$93</definedName>
    <definedName name="_xlnm.Print_Titles" localSheetId="1">'Daily Valuation Metrics'!$7:$10</definedName>
    <definedName name="Projection_Period_Title" localSheetId="1">'Daily Valuation Metrics'!#REF!</definedName>
    <definedName name="Projection_Period_Title">#REF!</definedName>
    <definedName name="Title1" localSheetId="1">Revenue2[[#Headers],[Column1]]</definedName>
    <definedName name="Title1">[1]!Revenue[[#Headers],[Banking]]</definedName>
    <definedName name="Title2" localSheetId="1">#REF!</definedName>
    <definedName name="Title2">#REF!</definedName>
    <definedName name="Title3" localSheetId="1">#REF!</definedName>
    <definedName name="Title3">#REF!</definedName>
    <definedName name="Wksht_Title" localSheetId="1">'Daily Valuation Metrics'!#REF!</definedName>
    <definedName name="Wksht_Tit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8" i="4" l="1"/>
  <c r="E87" i="4"/>
  <c r="E60" i="4"/>
  <c r="E59" i="4"/>
  <c r="E51" i="4"/>
  <c r="E50" i="4"/>
  <c r="E38" i="4"/>
  <c r="E37" i="4"/>
  <c r="E75" i="4"/>
  <c r="N75" i="4" s="1"/>
  <c r="E39" i="4"/>
  <c r="E23" i="4"/>
  <c r="E24" i="4"/>
  <c r="N24" i="4" s="1"/>
  <c r="E22" i="4"/>
  <c r="E20" i="4" l="1"/>
  <c r="N20" i="4" s="1"/>
  <c r="N88" i="4"/>
  <c r="N60" i="4"/>
  <c r="N51" i="4"/>
  <c r="N50" i="4"/>
  <c r="N37" i="4"/>
  <c r="N39" i="4" l="1"/>
  <c r="N38" i="4"/>
  <c r="N22" i="4"/>
  <c r="N23" i="4"/>
  <c r="E21" i="4"/>
  <c r="N21" i="4" s="1"/>
  <c r="E55" i="4" l="1"/>
  <c r="N55" i="4" s="1"/>
  <c r="E56" i="4"/>
  <c r="N56" i="4" s="1"/>
  <c r="E57" i="4"/>
  <c r="N57" i="4" s="1"/>
  <c r="E58" i="4"/>
  <c r="N58" i="4" s="1"/>
  <c r="N59" i="4"/>
  <c r="E54" i="4"/>
  <c r="N54" i="4" s="1"/>
  <c r="E43" i="4"/>
  <c r="N43" i="4" s="1"/>
  <c r="E44" i="4"/>
  <c r="N44" i="4" s="1"/>
  <c r="E45" i="4"/>
  <c r="N45" i="4" s="1"/>
  <c r="E46" i="4"/>
  <c r="N46" i="4" s="1"/>
  <c r="E47" i="4"/>
  <c r="N47" i="4" s="1"/>
  <c r="E48" i="4"/>
  <c r="N48" i="4" s="1"/>
  <c r="E49" i="4"/>
  <c r="N49" i="4" s="1"/>
  <c r="E42" i="4"/>
  <c r="N42" i="4" s="1"/>
  <c r="E28" i="4"/>
  <c r="N28" i="4" s="1"/>
  <c r="E29" i="4"/>
  <c r="N29" i="4" s="1"/>
  <c r="E30" i="4"/>
  <c r="N30" i="4" s="1"/>
  <c r="E31" i="4"/>
  <c r="N31" i="4" s="1"/>
  <c r="E32" i="4"/>
  <c r="N32" i="4" s="1"/>
  <c r="E33" i="4"/>
  <c r="N33" i="4" s="1"/>
  <c r="E34" i="4"/>
  <c r="N34" i="4" s="1"/>
  <c r="E35" i="4"/>
  <c r="N35" i="4" s="1"/>
  <c r="E36" i="4"/>
  <c r="N36" i="4" s="1"/>
  <c r="E27" i="4"/>
  <c r="N27" i="4" s="1"/>
  <c r="E12" i="4"/>
  <c r="N12" i="4" s="1"/>
  <c r="E13" i="4"/>
  <c r="N13" i="4" s="1"/>
  <c r="E14" i="4"/>
  <c r="N14" i="4" s="1"/>
  <c r="E15" i="4"/>
  <c r="N15" i="4" s="1"/>
  <c r="E16" i="4"/>
  <c r="N16" i="4" s="1"/>
  <c r="E17" i="4"/>
  <c r="N17" i="4" s="1"/>
  <c r="E18" i="4"/>
  <c r="N18" i="4" s="1"/>
  <c r="E19" i="4"/>
  <c r="N19" i="4" s="1"/>
  <c r="F24" i="4"/>
  <c r="P12" i="4" l="1"/>
  <c r="E85" i="4"/>
  <c r="N85" i="4" s="1"/>
  <c r="E86" i="4"/>
  <c r="N86" i="4" s="1"/>
  <c r="N87" i="4"/>
  <c r="E84" i="4"/>
  <c r="N84" i="4" s="1"/>
  <c r="E79" i="4"/>
  <c r="N79" i="4" s="1"/>
  <c r="E80" i="4"/>
  <c r="N80" i="4" s="1"/>
  <c r="E81" i="4"/>
  <c r="N81" i="4" s="1"/>
  <c r="E78" i="4"/>
  <c r="N78" i="4" s="1"/>
  <c r="E74" i="4"/>
  <c r="N74" i="4" s="1"/>
  <c r="E71" i="4"/>
  <c r="N71" i="4" s="1"/>
  <c r="E68" i="4"/>
  <c r="N68" i="4" s="1"/>
  <c r="E67" i="4"/>
  <c r="N67" i="4" s="1"/>
  <c r="E64" i="4"/>
  <c r="N64" i="4" s="1"/>
  <c r="E63" i="4"/>
  <c r="N63" i="4" s="1"/>
  <c r="P71" i="4" l="1"/>
  <c r="F71" i="4" l="1"/>
  <c r="P87" i="4" l="1"/>
  <c r="P79" i="4"/>
  <c r="F78" i="4"/>
  <c r="P75" i="4"/>
  <c r="F74" i="4"/>
  <c r="P68" i="4"/>
  <c r="F64" i="4"/>
  <c r="P63" i="4"/>
  <c r="F56" i="4"/>
  <c r="F60" i="4"/>
  <c r="P43" i="4"/>
  <c r="P44" i="4"/>
  <c r="F45" i="4"/>
  <c r="F46" i="4"/>
  <c r="F47" i="4"/>
  <c r="P49" i="4"/>
  <c r="F50" i="4"/>
  <c r="F51" i="4"/>
  <c r="F42" i="4"/>
  <c r="F28" i="4"/>
  <c r="P29" i="4"/>
  <c r="P30" i="4"/>
  <c r="P31" i="4"/>
  <c r="F34" i="4"/>
  <c r="P35" i="4"/>
  <c r="F37" i="4"/>
  <c r="P38" i="4"/>
  <c r="F27" i="4"/>
  <c r="P14" i="4"/>
  <c r="F15" i="4"/>
  <c r="P16" i="4"/>
  <c r="F17" i="4"/>
  <c r="P19" i="4"/>
  <c r="F21" i="4"/>
  <c r="P23" i="4"/>
  <c r="P24" i="4"/>
  <c r="F12" i="4"/>
  <c r="P80" i="4"/>
  <c r="O67" i="4"/>
  <c r="P34" i="4" l="1"/>
  <c r="P74" i="4"/>
  <c r="P67" i="4"/>
  <c r="F87" i="4"/>
  <c r="F30" i="4"/>
  <c r="F14" i="4"/>
  <c r="P22" i="4"/>
  <c r="P21" i="4"/>
  <c r="P18" i="4"/>
  <c r="P51" i="4"/>
  <c r="F80" i="4"/>
  <c r="F79" i="4"/>
  <c r="F81" i="4"/>
  <c r="P57" i="4"/>
  <c r="P64" i="4"/>
  <c r="F68" i="4"/>
  <c r="P33" i="4"/>
  <c r="F29" i="4"/>
  <c r="P17" i="4"/>
  <c r="F33" i="4"/>
  <c r="P37" i="4"/>
  <c r="P59" i="4"/>
  <c r="P55" i="4"/>
  <c r="F49" i="4"/>
  <c r="P60" i="4"/>
  <c r="P20" i="4"/>
  <c r="P36" i="4"/>
  <c r="F36" i="4"/>
  <c r="F85" i="4"/>
  <c r="F57" i="4"/>
  <c r="P15" i="4"/>
  <c r="F44" i="4"/>
  <c r="F86" i="4"/>
  <c r="F55" i="4"/>
  <c r="F59" i="4"/>
  <c r="F88" i="4"/>
  <c r="F84" i="4"/>
  <c r="P78" i="4"/>
  <c r="F75" i="4"/>
  <c r="F63" i="4"/>
  <c r="F58" i="4"/>
  <c r="F54" i="4"/>
  <c r="F20" i="4"/>
  <c r="P48" i="4"/>
  <c r="F48" i="4"/>
  <c r="P47" i="4"/>
  <c r="F43" i="4"/>
  <c r="P46" i="4"/>
  <c r="P50" i="4"/>
  <c r="P42" i="4"/>
  <c r="F35" i="4"/>
  <c r="P27" i="4"/>
  <c r="F16" i="4"/>
  <c r="F23" i="4"/>
  <c r="F19" i="4"/>
  <c r="F18" i="4"/>
  <c r="F22" i="4"/>
</calcChain>
</file>

<file path=xl/sharedStrings.xml><?xml version="1.0" encoding="utf-8"?>
<sst xmlns="http://schemas.openxmlformats.org/spreadsheetml/2006/main" count="457" uniqueCount="174">
  <si>
    <t>ACCESS</t>
  </si>
  <si>
    <t>AFRIPRUD</t>
  </si>
  <si>
    <t>AIICO</t>
  </si>
  <si>
    <t>CADBURY</t>
  </si>
  <si>
    <t>DANGCEM</t>
  </si>
  <si>
    <t>DANGSUGAR</t>
  </si>
  <si>
    <t>ETI</t>
  </si>
  <si>
    <t>FBNH</t>
  </si>
  <si>
    <t>FCMB</t>
  </si>
  <si>
    <t>FIDELITYBK</t>
  </si>
  <si>
    <t>FLOURMILL</t>
  </si>
  <si>
    <t>GUARANTY</t>
  </si>
  <si>
    <t>GUINNESS</t>
  </si>
  <si>
    <t>NASCON</t>
  </si>
  <si>
    <t>NB</t>
  </si>
  <si>
    <t>NESTLE</t>
  </si>
  <si>
    <t>OKOMUOIL</t>
  </si>
  <si>
    <t>PZ</t>
  </si>
  <si>
    <t>STANBIC</t>
  </si>
  <si>
    <t>STERLNBANK</t>
  </si>
  <si>
    <t>TOTAL</t>
  </si>
  <si>
    <t>TRANSCORP</t>
  </si>
  <si>
    <t>UACN</t>
  </si>
  <si>
    <t>UBA</t>
  </si>
  <si>
    <t>UBN</t>
  </si>
  <si>
    <t>UNILEVER</t>
  </si>
  <si>
    <t>WAPCO</t>
  </si>
  <si>
    <t>ZENITHBANK</t>
  </si>
  <si>
    <t>UCAP</t>
  </si>
  <si>
    <t>MOBIL</t>
  </si>
  <si>
    <t>Ticker</t>
  </si>
  <si>
    <t>Previous Close</t>
  </si>
  <si>
    <t>Open Price</t>
  </si>
  <si>
    <t>High Price</t>
  </si>
  <si>
    <t>Low Price</t>
  </si>
  <si>
    <t>Close Price</t>
  </si>
  <si>
    <t>Change Price</t>
  </si>
  <si>
    <t>% Change</t>
  </si>
  <si>
    <t>Volume</t>
  </si>
  <si>
    <t>ETERNA</t>
  </si>
  <si>
    <t>NAHCO</t>
  </si>
  <si>
    <t>Value (N)</t>
  </si>
  <si>
    <t>MAYBAKER</t>
  </si>
  <si>
    <t>HONYFLOUR</t>
  </si>
  <si>
    <t>JBERGER</t>
  </si>
  <si>
    <t>WAPIC</t>
  </si>
  <si>
    <t>OANDO</t>
  </si>
  <si>
    <t>WEMABANK</t>
  </si>
  <si>
    <t>GLAXOSMITH</t>
  </si>
  <si>
    <t>VITAFOAM</t>
  </si>
  <si>
    <t>JAIZBANK</t>
  </si>
  <si>
    <t>INTBREW</t>
  </si>
  <si>
    <t>CHAMS</t>
  </si>
  <si>
    <t>SEPLAT</t>
  </si>
  <si>
    <t>MTNN</t>
  </si>
  <si>
    <t>CONOIL</t>
  </si>
  <si>
    <t>LIVESTOCK</t>
  </si>
  <si>
    <t>UNITYBNK</t>
  </si>
  <si>
    <t>CAVERTON</t>
  </si>
  <si>
    <t>BERGER</t>
  </si>
  <si>
    <t>ARDOVA</t>
  </si>
  <si>
    <t>MANSARD</t>
  </si>
  <si>
    <t>FIDSON</t>
  </si>
  <si>
    <t>PRESCO</t>
  </si>
  <si>
    <t>NEIMETH</t>
  </si>
  <si>
    <t>CUSTODIAN</t>
  </si>
  <si>
    <t>CUTIX</t>
  </si>
  <si>
    <t>REDSTAREX</t>
  </si>
  <si>
    <t>MBENEFIT</t>
  </si>
  <si>
    <t>CAP</t>
  </si>
  <si>
    <t>AIRTELAFRI</t>
  </si>
  <si>
    <t>BUACEMENT</t>
  </si>
  <si>
    <t>CORNERST</t>
  </si>
  <si>
    <t>CHAMPION</t>
  </si>
  <si>
    <t>LINKASSURE</t>
  </si>
  <si>
    <t>ABCTRANS</t>
  </si>
  <si>
    <t>UAC-PROP</t>
  </si>
  <si>
    <t>NEM</t>
  </si>
  <si>
    <t>NPFMCRFBK</t>
  </si>
  <si>
    <t>BETAGLAS</t>
  </si>
  <si>
    <t>Valuation Metrics</t>
  </si>
  <si>
    <t>CLOSE PRICE</t>
  </si>
  <si>
    <t>P/B TTM</t>
  </si>
  <si>
    <t>EPS</t>
  </si>
  <si>
    <t>EV/EBITDA</t>
  </si>
  <si>
    <t>30 DAY RSI</t>
  </si>
  <si>
    <t xml:space="preserve">DIV YIELD </t>
  </si>
  <si>
    <t>Banking</t>
  </si>
  <si>
    <t>Column7</t>
  </si>
  <si>
    <t>Column2</t>
  </si>
  <si>
    <t>Column3</t>
  </si>
  <si>
    <t>Column5</t>
  </si>
  <si>
    <t>Column6</t>
  </si>
  <si>
    <t>Column8</t>
  </si>
  <si>
    <t>Column9</t>
  </si>
  <si>
    <t>Column12</t>
  </si>
  <si>
    <t>Column14</t>
  </si>
  <si>
    <t>Column15</t>
  </si>
  <si>
    <t>Column16</t>
  </si>
  <si>
    <t>-</t>
  </si>
  <si>
    <t>Consumer Goods</t>
  </si>
  <si>
    <t>Oil &amp; Gas</t>
  </si>
  <si>
    <t>Agriculture</t>
  </si>
  <si>
    <t>Insurance</t>
  </si>
  <si>
    <t>Disclaimer
Information used in the preparation of this publication is believed to be accurate at the time of going to press, though not verified independently.  No liability is accepted for errors nor omissions of fact, nor is any warranty given for the reasonableness, accuracy or completeness of the information presented.  Market information may have been gathered from different sources, including official and government sources, and processed in arriving at the opinion(s) expressed in this publication. This publication is intended as background information for clients of Coronation Securities Limited and is not to be read as a solicitation, approval or advice to buy or sell securities. Neither Coronation Securities Limited, nor its directors, employees and contractors accept(s) responsibility for losses or opportunity costs, whether direct or consequential, that may be incurred as a result of trading, or not trading, in securities covered in this publication, or other securities, as a result of any decision taken after reading this publication.  Clients of Coronation Securities Limited, who read this publication, should not rely on it for the purposes of making investment decisions and should make their own evaluation of:  the potential performance of securities; the risks involved in buying or selling securities; the volatility and liquidity of securities; and of other factors such as interest rates, exchange rates, exchange rate liquidity, trading costs, settlement and custody. Clients of Coronation Securities Limited who read this publication, should assess their own investment objectives and financial capacities when taking investment decisions and should consult a relevant financial adviser in these respects.
Copying and reproduction of this publication, and onward forwarding, is only allowed with the specific permission of Coronation Securities Limited.  Receipt of this publication does not qualify you as a client of Coronation Securities Limited.  This publication is not intended for distribution to, or use by, any person or entity in any jurisdiction or country where such distribution or use would be contrary to law or regulations.
The methodology for this recommndation is based on the analyst's periodic martket outlook.</t>
  </si>
  <si>
    <t>MRS</t>
  </si>
  <si>
    <t>P/E</t>
  </si>
  <si>
    <t>YTD RETURN</t>
  </si>
  <si>
    <t>Column1</t>
  </si>
  <si>
    <t>Column4</t>
  </si>
  <si>
    <t>Column13</t>
  </si>
  <si>
    <t>Services</t>
  </si>
  <si>
    <t>Pharmaceuticals</t>
  </si>
  <si>
    <t>Other Financial Institutions</t>
  </si>
  <si>
    <t>Industrial Goods</t>
  </si>
  <si>
    <t>Telecommunications</t>
  </si>
  <si>
    <t>Year End</t>
  </si>
  <si>
    <t>Dec</t>
  </si>
  <si>
    <t>Mar</t>
  </si>
  <si>
    <t>Apr</t>
  </si>
  <si>
    <t>May</t>
  </si>
  <si>
    <t>June</t>
  </si>
  <si>
    <t>Sept</t>
  </si>
  <si>
    <t>P/B</t>
  </si>
  <si>
    <t>30-D VOLATILITY</t>
  </si>
  <si>
    <t>DIVIDEND</t>
  </si>
  <si>
    <t>DIV YIELD</t>
  </si>
  <si>
    <t>YEAR END</t>
  </si>
  <si>
    <t>30-DAY RSI</t>
  </si>
  <si>
    <t>NNFM</t>
  </si>
  <si>
    <t>52 WK LOW</t>
  </si>
  <si>
    <t>52 WK HIGH</t>
  </si>
  <si>
    <t>52-WK LOW</t>
  </si>
  <si>
    <t>52-WK HIGH</t>
  </si>
  <si>
    <t>ROYALEX</t>
  </si>
  <si>
    <t>BOCGAS</t>
  </si>
  <si>
    <t>PRESTIGE</t>
  </si>
  <si>
    <t xml:space="preserve"> DIVIDEND (FY'2019)</t>
  </si>
  <si>
    <t>30 DAY VOL.</t>
  </si>
  <si>
    <t>CHIPLC</t>
  </si>
  <si>
    <t>LEARNAFRCA</t>
  </si>
  <si>
    <t>REGALINS</t>
  </si>
  <si>
    <t>UNIONDAC</t>
  </si>
  <si>
    <t>SOVRENINS</t>
  </si>
  <si>
    <t>FTNCOCOA</t>
  </si>
  <si>
    <t>JAPAULGOLD</t>
  </si>
  <si>
    <t>JOHNHOLT</t>
  </si>
  <si>
    <t>PORTPAINT</t>
  </si>
  <si>
    <t>ACADEMY</t>
  </si>
  <si>
    <t>COURTVILLE</t>
  </si>
  <si>
    <t>NIGERINS</t>
  </si>
  <si>
    <t>VERITASKAP</t>
  </si>
  <si>
    <t>RTBRISCOE</t>
  </si>
  <si>
    <t>AFRINSURE</t>
  </si>
  <si>
    <t>UNIVINSURE</t>
  </si>
  <si>
    <t>GUINEAINS</t>
  </si>
  <si>
    <t>MULTIVERSE</t>
  </si>
  <si>
    <t>AFROMEDIA</t>
  </si>
  <si>
    <t>NCR</t>
  </si>
  <si>
    <t>UPL</t>
  </si>
  <si>
    <t>CILEASING</t>
  </si>
  <si>
    <t>SKYAVN</t>
  </si>
  <si>
    <t>TRANSCOHOT</t>
  </si>
  <si>
    <t>TRANSEXPR</t>
  </si>
  <si>
    <t>ETRANZACT</t>
  </si>
  <si>
    <t>ABBEYBDS</t>
  </si>
  <si>
    <t>CAPHOTEL</t>
  </si>
  <si>
    <t>DEAPCAP</t>
  </si>
  <si>
    <t>EKOCORP</t>
  </si>
  <si>
    <t>ELLAHLAKES</t>
  </si>
  <si>
    <t>MEYER</t>
  </si>
  <si>
    <t>NOTORE</t>
  </si>
  <si>
    <t>NSLTECH</t>
  </si>
  <si>
    <t>OMATEK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</si>
</sst>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00_-;\-* #,##0.00_-;_-* &quot;-&quot;??_-;_-@_-"/>
    <numFmt numFmtId="165" formatCode="_-* #,##0_-;\-* #,##0_-;_-* &quot;-&quot;??_-;_-@_-"/>
    <numFmt numFmtId="166" formatCode="[$-409]mmmm\ d\,\ yyyy;@"/>
    <numFmt numFmtId="167" formatCode="[$-409]mmm\-yy;@"/>
    <numFmt numFmtId="168" formatCode=";;;"/>
  </numFmts>
  <fonts count="5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sz val="11"/>
      <name val="Arial"/>
      <family val="2"/>
    </font>
    <font>
      <b/>
      <sz val="16"/>
      <color rgb="FF003057"/>
      <name val="Arial"/>
      <family val="2"/>
    </font>
    <font>
      <sz val="12"/>
      <color theme="1"/>
      <name val="Lao UI"/>
      <family val="2"/>
    </font>
    <font>
      <sz val="11"/>
      <color theme="1"/>
      <name val="Lao UI"/>
      <family val="2"/>
    </font>
    <font>
      <b/>
      <sz val="22"/>
      <color theme="3"/>
      <name val="Calibri"/>
      <family val="2"/>
      <scheme val="minor"/>
    </font>
    <font>
      <sz val="36"/>
      <color rgb="FF003057"/>
      <name val="Corbel"/>
      <family val="2"/>
    </font>
    <font>
      <b/>
      <sz val="28"/>
      <color rgb="FF003057"/>
      <name val="Lao UI"/>
      <family val="2"/>
    </font>
    <font>
      <b/>
      <sz val="36"/>
      <color rgb="FF9A6A4F"/>
      <name val="Lao UI"/>
      <family val="2"/>
    </font>
    <font>
      <sz val="12"/>
      <color rgb="FF003057"/>
      <name val="Lao UI"/>
      <family val="2"/>
    </font>
    <font>
      <b/>
      <sz val="24"/>
      <color rgb="FF003057"/>
      <name val="Lao UI"/>
      <family val="2"/>
    </font>
    <font>
      <sz val="11"/>
      <color theme="3"/>
      <name val="Cambria"/>
      <family val="1"/>
      <scheme val="major"/>
    </font>
    <font>
      <b/>
      <i/>
      <sz val="16"/>
      <color theme="7" tint="-0.24994659260841701"/>
      <name val="Cambria"/>
      <family val="1"/>
      <scheme val="major"/>
    </font>
    <font>
      <sz val="11"/>
      <name val="Calibri"/>
      <family val="2"/>
      <scheme val="minor"/>
    </font>
    <font>
      <b/>
      <i/>
      <sz val="22"/>
      <color theme="7" tint="-0.24994659260841701"/>
      <name val="Cambria"/>
      <family val="1"/>
      <scheme val="major"/>
    </font>
    <font>
      <b/>
      <sz val="12"/>
      <color theme="3"/>
      <name val="Calibri"/>
      <family val="2"/>
      <scheme val="minor"/>
    </font>
    <font>
      <sz val="8"/>
      <name val="Calibri"/>
      <family val="2"/>
      <scheme val="minor"/>
    </font>
    <font>
      <sz val="16"/>
      <color theme="1"/>
      <name val="Apple SD Gothic Neo Thin"/>
    </font>
    <font>
      <sz val="16"/>
      <color theme="3"/>
      <name val="Apple SD Gothic Neo Thin"/>
    </font>
    <font>
      <b/>
      <sz val="16"/>
      <color rgb="FF003057"/>
      <name val="Apple SD Gothic Neo Thin"/>
    </font>
    <font>
      <b/>
      <sz val="16"/>
      <color theme="3"/>
      <name val="Apple SD Gothic Neo Thin"/>
    </font>
    <font>
      <sz val="16"/>
      <color rgb="FF003057"/>
      <name val="Apple SD Gothic Neo Thin"/>
    </font>
    <font>
      <b/>
      <i/>
      <sz val="16"/>
      <color theme="7" tint="-0.24994659260841701"/>
      <name val="Apple SD Gothic Neo Thin"/>
    </font>
    <font>
      <sz val="16"/>
      <name val="Apple SD Gothic Neo Thin"/>
    </font>
    <font>
      <b/>
      <i/>
      <sz val="16"/>
      <color theme="7"/>
      <name val="Apple SD Gothic Neo Thin"/>
    </font>
    <font>
      <b/>
      <sz val="16"/>
      <color rgb="FFCDE8FF"/>
      <name val="Apple SD Gothic Neo Thin"/>
    </font>
    <font>
      <b/>
      <sz val="16"/>
      <color theme="1"/>
      <name val="Apple SD Gothic Neo Thin"/>
    </font>
    <font>
      <b/>
      <sz val="16"/>
      <color theme="1" tint="0.249977111117893"/>
      <name val="Apple SD Gothic Neo Thin"/>
    </font>
    <font>
      <b/>
      <sz val="16"/>
      <name val="Apple SD Gothic Neo Thin"/>
    </font>
    <font>
      <sz val="8"/>
      <color theme="1"/>
      <name val="Apple SD Gothic Neo Thin"/>
    </font>
    <font>
      <b/>
      <sz val="16"/>
      <color theme="1" tint="0.249977111117893"/>
      <name val="Apple SD Gothic Neo SemiBold"/>
    </font>
    <font>
      <b/>
      <sz val="16"/>
      <color rgb="FF003057"/>
      <name val="Apple SD Gothic Neo SemiBold"/>
    </font>
    <font>
      <sz val="16"/>
      <color theme="1"/>
      <name val="Apple SD Gothic Neo SemiBold"/>
    </font>
    <font>
      <b/>
      <sz val="14"/>
      <color rgb="FF9A6A4F"/>
      <name val="Apple SD Gothic Neo Regular"/>
    </font>
    <font>
      <b/>
      <sz val="14"/>
      <color theme="1" tint="0.34998626667073579"/>
      <name val="Apple SD Gothic Neo Regular"/>
    </font>
    <font>
      <sz val="14"/>
      <color theme="1" tint="0.34998626667073579"/>
      <name val="Apple SD Gothic Neo Regular"/>
    </font>
    <font>
      <sz val="14"/>
      <color rgb="FF006666"/>
      <name val="Apple SD Gothic Neo Regular"/>
    </font>
    <font>
      <sz val="14"/>
      <color rgb="FFC00000"/>
      <name val="Apple SD Gothic Neo Regular"/>
    </font>
  </fonts>
  <fills count="4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theme="0" tint="-0.14999847407452621"/>
      </patternFill>
    </fill>
    <fill>
      <patternFill patternType="solid">
        <fgColor rgb="FFF3EDE9"/>
        <bgColor indexed="64"/>
      </patternFill>
    </fill>
    <fill>
      <patternFill patternType="solid">
        <fgColor rgb="FFD8D9DA"/>
        <bgColor indexed="64"/>
      </patternFill>
    </fill>
    <fill>
      <patternFill patternType="solid">
        <fgColor rgb="FFCDE8FF"/>
        <bgColor indexed="64"/>
      </patternFill>
    </fill>
    <fill>
      <patternFill patternType="solid">
        <fgColor rgb="FFEBDFD9"/>
        <bgColor indexed="64"/>
      </patternFill>
    </fill>
    <fill>
      <patternFill patternType="solid">
        <fgColor rgb="FF9A6A4F"/>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bottom style="thin">
        <color indexed="64"/>
      </bottom>
      <diagonal/>
    </border>
    <border>
      <left/>
      <right/>
      <top/>
      <bottom style="thin">
        <color theme="0" tint="-0.34998626667073579"/>
      </bottom>
      <diagonal/>
    </border>
    <border>
      <left style="thin">
        <color auto="1"/>
      </left>
      <right style="thin">
        <color auto="1"/>
      </right>
      <top/>
      <bottom style="thin">
        <color auto="1"/>
      </bottom>
      <diagonal/>
    </border>
    <border>
      <left/>
      <right/>
      <top style="thin">
        <color theme="0" tint="-0.34998626667073579"/>
      </top>
      <bottom/>
      <diagonal/>
    </border>
    <border>
      <left/>
      <right style="thin">
        <color theme="0" tint="-0.34998626667073579"/>
      </right>
      <top/>
      <bottom/>
      <diagonal/>
    </border>
    <border>
      <left/>
      <right/>
      <top/>
      <bottom style="dotted">
        <color theme="3"/>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left>
      <right/>
      <top style="thin">
        <color theme="0" tint="-0.34998626667073579"/>
      </top>
      <bottom style="thin">
        <color theme="0" tint="-0.34998626667073579"/>
      </bottom>
      <diagonal/>
    </border>
    <border>
      <left style="thin">
        <color theme="0"/>
      </left>
      <right style="thin">
        <color theme="0"/>
      </right>
      <top/>
      <bottom style="thin">
        <color theme="0" tint="-0.34998626667073579"/>
      </bottom>
      <diagonal/>
    </border>
    <border>
      <left style="thin">
        <color theme="0"/>
      </left>
      <right/>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diagonal/>
    </border>
    <border>
      <left style="thin">
        <color theme="0" tint="-0.34998626667073579"/>
      </left>
      <right style="thin">
        <color theme="0"/>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s>
  <cellStyleXfs count="51">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9" fillId="6" borderId="4" applyNumberFormat="0" applyAlignment="0" applyProtection="0"/>
    <xf numFmtId="0" fontId="10" fillId="7" borderId="5" applyNumberFormat="0" applyAlignment="0" applyProtection="0"/>
    <xf numFmtId="0" fontId="11" fillId="7" borderId="4" applyNumberFormat="0" applyAlignment="0" applyProtection="0"/>
    <xf numFmtId="0" fontId="12" fillId="0" borderId="6" applyNumberFormat="0" applyFill="0" applyAlignment="0" applyProtection="0"/>
    <xf numFmtId="0" fontId="13" fillId="8" borderId="7" applyNumberFormat="0" applyAlignment="0" applyProtection="0"/>
    <xf numFmtId="0" fontId="14" fillId="0" borderId="0" applyNumberFormat="0" applyFill="0" applyBorder="0" applyAlignment="0" applyProtection="0"/>
    <xf numFmtId="0" fontId="1" fillId="9"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7" fillId="33" borderId="0" applyNumberFormat="0" applyBorder="0" applyAlignment="0" applyProtection="0"/>
    <xf numFmtId="0" fontId="23" fillId="0" borderId="0" applyNumberFormat="0" applyFill="0" applyBorder="0" applyProtection="0">
      <alignment vertical="center"/>
    </xf>
    <xf numFmtId="167" fontId="29" fillId="0" borderId="13" applyFill="0" applyProtection="0">
      <alignment horizontal="center" vertical="center"/>
    </xf>
    <xf numFmtId="0" fontId="30" fillId="0" borderId="16" applyProtection="0">
      <alignment vertical="center"/>
    </xf>
    <xf numFmtId="9" fontId="31" fillId="0" borderId="0" applyFill="0" applyBorder="0" applyProtection="0">
      <alignment horizontal="right"/>
    </xf>
    <xf numFmtId="0" fontId="32" fillId="0" borderId="0" applyFill="0" applyProtection="0">
      <alignment horizontal="right" vertical="center"/>
    </xf>
    <xf numFmtId="0" fontId="33" fillId="0" borderId="0">
      <alignment horizontal="right" indent="1"/>
    </xf>
    <xf numFmtId="0" fontId="1" fillId="0" borderId="0">
      <alignment horizontal="right" wrapText="1" indent="1"/>
    </xf>
  </cellStyleXfs>
  <cellXfs count="111">
    <xf numFmtId="0" fontId="0" fillId="0" borderId="0" xfId="0"/>
    <xf numFmtId="0" fontId="18" fillId="2" borderId="0" xfId="0" applyFont="1" applyFill="1" applyBorder="1"/>
    <xf numFmtId="0" fontId="19" fillId="2" borderId="0" xfId="0" applyFont="1" applyFill="1" applyBorder="1"/>
    <xf numFmtId="164" fontId="19" fillId="2" borderId="0" xfId="1" applyFont="1" applyFill="1" applyBorder="1" applyAlignment="1">
      <alignment horizontal="right"/>
    </xf>
    <xf numFmtId="0" fontId="19" fillId="2" borderId="0" xfId="0" applyFont="1" applyFill="1" applyBorder="1" applyAlignment="1">
      <alignment horizontal="right"/>
    </xf>
    <xf numFmtId="0" fontId="19" fillId="2" borderId="0" xfId="0" applyFont="1" applyFill="1" applyBorder="1" applyAlignment="1">
      <alignment horizontal="center"/>
    </xf>
    <xf numFmtId="165" fontId="19" fillId="2" borderId="0" xfId="1" applyNumberFormat="1" applyFont="1" applyFill="1" applyBorder="1" applyAlignment="1">
      <alignment horizontal="right"/>
    </xf>
    <xf numFmtId="10" fontId="19" fillId="2" borderId="0" xfId="2" applyNumberFormat="1" applyFont="1" applyFill="1" applyBorder="1" applyAlignment="1">
      <alignment horizontal="center"/>
    </xf>
    <xf numFmtId="0" fontId="20" fillId="2" borderId="0" xfId="0" applyFont="1" applyFill="1" applyBorder="1" applyAlignment="1">
      <alignment horizontal="center" vertical="center"/>
    </xf>
    <xf numFmtId="0" fontId="20" fillId="2" borderId="11" xfId="0" applyFont="1" applyFill="1" applyBorder="1" applyAlignment="1">
      <alignment horizontal="center" vertical="center"/>
    </xf>
    <xf numFmtId="10" fontId="18" fillId="2" borderId="0" xfId="0" applyNumberFormat="1" applyFont="1" applyFill="1" applyBorder="1"/>
    <xf numFmtId="2" fontId="18" fillId="2" borderId="0" xfId="0" applyNumberFormat="1" applyFont="1" applyFill="1" applyBorder="1"/>
    <xf numFmtId="0" fontId="21" fillId="0" borderId="0" xfId="0" applyFont="1"/>
    <xf numFmtId="0" fontId="21" fillId="0" borderId="0" xfId="0" applyFont="1" applyAlignment="1">
      <alignment horizontal="center"/>
    </xf>
    <xf numFmtId="0" fontId="22" fillId="0" borderId="0" xfId="0" applyFont="1"/>
    <xf numFmtId="0" fontId="24" fillId="0" borderId="0" xfId="44" applyFont="1" applyBorder="1">
      <alignment vertical="center"/>
    </xf>
    <xf numFmtId="0" fontId="25" fillId="0" borderId="0" xfId="44" applyFont="1" applyBorder="1">
      <alignment vertical="center"/>
    </xf>
    <xf numFmtId="10" fontId="21" fillId="0" borderId="0" xfId="0" applyNumberFormat="1" applyFont="1" applyAlignment="1">
      <alignment horizontal="center"/>
    </xf>
    <xf numFmtId="0" fontId="27" fillId="0" borderId="0" xfId="0" applyFont="1"/>
    <xf numFmtId="0" fontId="28" fillId="0" borderId="0" xfId="44" applyFont="1" applyBorder="1">
      <alignment vertical="center"/>
    </xf>
    <xf numFmtId="0" fontId="28" fillId="0" borderId="12" xfId="44" applyFont="1" applyBorder="1">
      <alignment vertical="center"/>
    </xf>
    <xf numFmtId="0" fontId="21" fillId="0" borderId="15" xfId="0" applyFont="1" applyBorder="1"/>
    <xf numFmtId="10" fontId="21" fillId="0" borderId="0" xfId="0" applyNumberFormat="1" applyFont="1"/>
    <xf numFmtId="0" fontId="21" fillId="0" borderId="0" xfId="0" applyFont="1" applyAlignment="1">
      <alignment horizontal="left"/>
    </xf>
    <xf numFmtId="0" fontId="21" fillId="2" borderId="0" xfId="0" applyFont="1" applyFill="1" applyAlignment="1">
      <alignment horizontal="left" vertical="center" wrapText="1"/>
    </xf>
    <xf numFmtId="0" fontId="21" fillId="2" borderId="0" xfId="0" applyFont="1" applyFill="1"/>
    <xf numFmtId="0" fontId="21" fillId="2" borderId="0" xfId="0" applyFont="1" applyFill="1" applyAlignment="1">
      <alignment horizontal="left" wrapText="1"/>
    </xf>
    <xf numFmtId="0" fontId="21" fillId="39" borderId="0" xfId="0" applyFont="1" applyFill="1"/>
    <xf numFmtId="0" fontId="22" fillId="0" borderId="0" xfId="0" applyFont="1" applyBorder="1"/>
    <xf numFmtId="10" fontId="21" fillId="0" borderId="14" xfId="0" applyNumberFormat="1" applyFont="1" applyBorder="1"/>
    <xf numFmtId="0" fontId="35" fillId="36" borderId="14" xfId="0" applyFont="1" applyFill="1" applyBorder="1"/>
    <xf numFmtId="0" fontId="35" fillId="36" borderId="0" xfId="0" applyFont="1" applyFill="1"/>
    <xf numFmtId="167" fontId="36" fillId="36" borderId="23" xfId="45" applyFont="1" applyFill="1" applyBorder="1" applyAlignment="1">
      <alignment horizontal="center" vertical="center" wrapText="1"/>
    </xf>
    <xf numFmtId="167" fontId="36" fillId="36" borderId="23" xfId="45" applyFont="1" applyFill="1" applyBorder="1">
      <alignment horizontal="center" vertical="center"/>
    </xf>
    <xf numFmtId="167" fontId="36" fillId="36" borderId="18" xfId="45" applyFont="1" applyFill="1" applyBorder="1" applyAlignment="1">
      <alignment horizontal="center" vertical="center" wrapText="1"/>
    </xf>
    <xf numFmtId="0" fontId="37" fillId="0" borderId="28" xfId="44" applyFont="1" applyBorder="1">
      <alignment vertical="center"/>
    </xf>
    <xf numFmtId="0" fontId="38" fillId="0" borderId="14" xfId="0" applyFont="1" applyBorder="1" applyAlignment="1">
      <alignment horizontal="center" vertical="center"/>
    </xf>
    <xf numFmtId="0" fontId="39" fillId="0" borderId="0" xfId="0" applyFont="1"/>
    <xf numFmtId="0" fontId="35" fillId="0" borderId="0" xfId="0" applyFont="1"/>
    <xf numFmtId="0" fontId="35" fillId="0" borderId="0" xfId="0" applyFont="1" applyBorder="1"/>
    <xf numFmtId="0" fontId="35" fillId="0" borderId="15" xfId="0" applyFont="1" applyBorder="1"/>
    <xf numFmtId="0" fontId="40" fillId="0" borderId="26" xfId="46" applyFont="1" applyBorder="1">
      <alignment vertical="center"/>
    </xf>
    <xf numFmtId="9" fontId="41" fillId="0" borderId="0" xfId="47" applyFont="1" applyBorder="1">
      <alignment horizontal="right"/>
    </xf>
    <xf numFmtId="0" fontId="42" fillId="0" borderId="0" xfId="0" applyFont="1" applyAlignment="1">
      <alignment horizontal="right" vertical="center"/>
    </xf>
    <xf numFmtId="0" fontId="40" fillId="0" borderId="0" xfId="48" applyFont="1" applyBorder="1">
      <alignment horizontal="right" vertical="center"/>
    </xf>
    <xf numFmtId="0" fontId="42" fillId="0" borderId="15" xfId="0" applyFont="1" applyBorder="1" applyAlignment="1">
      <alignment horizontal="right" vertical="center"/>
    </xf>
    <xf numFmtId="0" fontId="37" fillId="37" borderId="12" xfId="49" applyFont="1" applyFill="1" applyBorder="1" applyAlignment="1">
      <alignment horizontal="left" vertical="center" indent="1"/>
    </xf>
    <xf numFmtId="0" fontId="43" fillId="37" borderId="12" xfId="49" applyFont="1" applyFill="1" applyBorder="1" applyAlignment="1">
      <alignment horizontal="left" vertical="center" indent="1"/>
    </xf>
    <xf numFmtId="168" fontId="44" fillId="37" borderId="12" xfId="0" applyNumberFormat="1" applyFont="1" applyFill="1" applyBorder="1" applyAlignment="1">
      <alignment horizontal="right"/>
    </xf>
    <xf numFmtId="168" fontId="35" fillId="37" borderId="12" xfId="0" applyNumberFormat="1" applyFont="1" applyFill="1" applyBorder="1" applyAlignment="1">
      <alignment horizontal="right"/>
    </xf>
    <xf numFmtId="168" fontId="35" fillId="37" borderId="12" xfId="0" applyNumberFormat="1" applyFont="1" applyFill="1" applyBorder="1" applyAlignment="1">
      <alignment horizontal="center"/>
    </xf>
    <xf numFmtId="168" fontId="35" fillId="37" borderId="17" xfId="0" applyNumberFormat="1" applyFont="1" applyFill="1" applyBorder="1" applyAlignment="1">
      <alignment horizontal="center"/>
    </xf>
    <xf numFmtId="168" fontId="35" fillId="37" borderId="25" xfId="0" applyNumberFormat="1" applyFont="1" applyFill="1" applyBorder="1" applyAlignment="1">
      <alignment horizontal="center"/>
    </xf>
    <xf numFmtId="0" fontId="37" fillId="37" borderId="23" xfId="49" applyFont="1" applyFill="1" applyBorder="1" applyAlignment="1">
      <alignment horizontal="left" vertical="center" indent="1"/>
    </xf>
    <xf numFmtId="168" fontId="35" fillId="37" borderId="23" xfId="0" applyNumberFormat="1" applyFont="1" applyFill="1" applyBorder="1" applyAlignment="1">
      <alignment horizontal="right"/>
    </xf>
    <xf numFmtId="168" fontId="35" fillId="37" borderId="23" xfId="0" applyNumberFormat="1" applyFont="1" applyFill="1" applyBorder="1" applyAlignment="1">
      <alignment horizontal="center"/>
    </xf>
    <xf numFmtId="168" fontId="35" fillId="37" borderId="18" xfId="0" applyNumberFormat="1" applyFont="1" applyFill="1" applyBorder="1" applyAlignment="1">
      <alignment horizontal="right"/>
    </xf>
    <xf numFmtId="0" fontId="44" fillId="0" borderId="20" xfId="0" applyFont="1" applyBorder="1"/>
    <xf numFmtId="0" fontId="35" fillId="0" borderId="20" xfId="0" applyFont="1" applyBorder="1"/>
    <xf numFmtId="0" fontId="35" fillId="0" borderId="21" xfId="0" applyFont="1" applyBorder="1"/>
    <xf numFmtId="0" fontId="35" fillId="0" borderId="22" xfId="0" applyFont="1" applyBorder="1"/>
    <xf numFmtId="10" fontId="35" fillId="0" borderId="22" xfId="0" applyNumberFormat="1" applyFont="1" applyBorder="1"/>
    <xf numFmtId="10" fontId="35" fillId="0" borderId="20" xfId="0" applyNumberFormat="1" applyFont="1" applyBorder="1"/>
    <xf numFmtId="0" fontId="35" fillId="0" borderId="18" xfId="0" applyFont="1" applyBorder="1"/>
    <xf numFmtId="2" fontId="41" fillId="37" borderId="19" xfId="47" applyNumberFormat="1" applyFont="1" applyFill="1" applyBorder="1" applyAlignment="1">
      <alignment horizontal="center" vertical="center"/>
    </xf>
    <xf numFmtId="2" fontId="41" fillId="37" borderId="19" xfId="47" applyNumberFormat="1" applyFont="1" applyFill="1" applyBorder="1" applyAlignment="1">
      <alignment horizontal="center" vertical="center" wrapText="1"/>
    </xf>
    <xf numFmtId="0" fontId="35" fillId="0" borderId="26" xfId="0" applyFont="1" applyBorder="1"/>
    <xf numFmtId="0" fontId="35" fillId="0" borderId="23" xfId="0" applyFont="1" applyBorder="1"/>
    <xf numFmtId="10" fontId="35" fillId="0" borderId="0" xfId="0" applyNumberFormat="1" applyFont="1"/>
    <xf numFmtId="10" fontId="35" fillId="0" borderId="23" xfId="0" applyNumberFormat="1" applyFont="1" applyBorder="1"/>
    <xf numFmtId="0" fontId="45" fillId="0" borderId="18" xfId="50" applyFont="1" applyBorder="1" applyAlignment="1">
      <alignment horizontal="left" vertical="center" wrapText="1" indent="1"/>
    </xf>
    <xf numFmtId="9" fontId="41" fillId="0" borderId="19" xfId="47" applyFont="1" applyBorder="1">
      <alignment horizontal="right"/>
    </xf>
    <xf numFmtId="2" fontId="46" fillId="37" borderId="19" xfId="47" applyNumberFormat="1" applyFont="1" applyFill="1" applyBorder="1" applyAlignment="1">
      <alignment horizontal="center" vertical="center"/>
    </xf>
    <xf numFmtId="2" fontId="41" fillId="38" borderId="19" xfId="47" applyNumberFormat="1" applyFont="1" applyFill="1" applyBorder="1" applyAlignment="1">
      <alignment horizontal="center" vertical="center"/>
    </xf>
    <xf numFmtId="10" fontId="41" fillId="38" borderId="19" xfId="47" applyNumberFormat="1" applyFont="1" applyFill="1" applyBorder="1" applyAlignment="1">
      <alignment horizontal="center" vertical="center"/>
    </xf>
    <xf numFmtId="10" fontId="41" fillId="37" borderId="19" xfId="47" applyNumberFormat="1" applyFont="1" applyFill="1" applyBorder="1" applyAlignment="1">
      <alignment horizontal="center" vertical="center"/>
    </xf>
    <xf numFmtId="0" fontId="45" fillId="0" borderId="19" xfId="50" applyFont="1" applyBorder="1" applyAlignment="1">
      <alignment horizontal="left" vertical="center" wrapText="1" indent="1"/>
    </xf>
    <xf numFmtId="0" fontId="48" fillId="0" borderId="18" xfId="50" applyFont="1" applyBorder="1" applyAlignment="1">
      <alignment horizontal="left" vertical="center" wrapText="1" indent="1"/>
    </xf>
    <xf numFmtId="0" fontId="48" fillId="0" borderId="19" xfId="50" applyFont="1" applyBorder="1" applyAlignment="1">
      <alignment horizontal="left" vertical="center" wrapText="1" indent="1"/>
    </xf>
    <xf numFmtId="0" fontId="49" fillId="37" borderId="24" xfId="49" applyFont="1" applyFill="1" applyBorder="1" applyAlignment="1">
      <alignment horizontal="left" vertical="center" indent="1"/>
    </xf>
    <xf numFmtId="0" fontId="50" fillId="0" borderId="26" xfId="0" applyFont="1" applyBorder="1"/>
    <xf numFmtId="0" fontId="50" fillId="0" borderId="24" xfId="0" applyFont="1" applyBorder="1"/>
    <xf numFmtId="0" fontId="50" fillId="0" borderId="27" xfId="0" applyFont="1" applyBorder="1"/>
    <xf numFmtId="0" fontId="49" fillId="37" borderId="23" xfId="49" applyFont="1" applyFill="1" applyBorder="1" applyAlignment="1">
      <alignment horizontal="left" vertical="center" indent="1"/>
    </xf>
    <xf numFmtId="166" fontId="26" fillId="0" borderId="0" xfId="44" applyNumberFormat="1" applyFont="1" applyBorder="1" applyAlignment="1">
      <alignment vertical="center"/>
    </xf>
    <xf numFmtId="0" fontId="51" fillId="2" borderId="10" xfId="0" applyFont="1" applyFill="1" applyBorder="1" applyAlignment="1">
      <alignment horizontal="left" vertical="center"/>
    </xf>
    <xf numFmtId="164" fontId="51" fillId="2" borderId="10" xfId="1" applyFont="1" applyFill="1" applyBorder="1" applyAlignment="1">
      <alignment horizontal="right" vertical="center"/>
    </xf>
    <xf numFmtId="164" fontId="51" fillId="2" borderId="10" xfId="1" applyFont="1" applyFill="1" applyBorder="1" applyAlignment="1">
      <alignment horizontal="center" vertical="center"/>
    </xf>
    <xf numFmtId="10" fontId="51" fillId="2" borderId="10" xfId="2" applyNumberFormat="1" applyFont="1" applyFill="1" applyBorder="1" applyAlignment="1">
      <alignment horizontal="center" vertical="center"/>
    </xf>
    <xf numFmtId="0" fontId="52" fillId="34" borderId="0" xfId="0" applyFont="1" applyFill="1" applyBorder="1" applyAlignment="1">
      <alignment vertical="center"/>
    </xf>
    <xf numFmtId="164" fontId="53" fillId="34" borderId="0" xfId="1" applyFont="1" applyFill="1" applyBorder="1" applyAlignment="1">
      <alignment horizontal="right" vertical="center"/>
    </xf>
    <xf numFmtId="164" fontId="53" fillId="34" borderId="0" xfId="1" applyFont="1" applyFill="1" applyBorder="1" applyAlignment="1">
      <alignment vertical="center"/>
    </xf>
    <xf numFmtId="2" fontId="53" fillId="34" borderId="0" xfId="1" applyNumberFormat="1" applyFont="1" applyFill="1" applyBorder="1" applyAlignment="1">
      <alignment horizontal="center" vertical="center"/>
    </xf>
    <xf numFmtId="10" fontId="53" fillId="2" borderId="0" xfId="2" applyNumberFormat="1" applyFont="1" applyFill="1" applyBorder="1" applyAlignment="1">
      <alignment horizontal="center" vertical="center"/>
    </xf>
    <xf numFmtId="165" fontId="53" fillId="2" borderId="0" xfId="1" applyNumberFormat="1" applyFont="1" applyFill="1" applyBorder="1" applyAlignment="1">
      <alignment horizontal="right" vertical="center"/>
    </xf>
    <xf numFmtId="164" fontId="53" fillId="2" borderId="0" xfId="1" applyFont="1" applyFill="1" applyBorder="1" applyAlignment="1">
      <alignment horizontal="right" vertical="center"/>
    </xf>
    <xf numFmtId="0" fontId="52" fillId="35" borderId="0" xfId="0" applyFont="1" applyFill="1" applyBorder="1" applyAlignment="1">
      <alignment vertical="center"/>
    </xf>
    <xf numFmtId="164" fontId="53" fillId="35" borderId="0" xfId="1" applyFont="1" applyFill="1" applyBorder="1" applyAlignment="1">
      <alignment horizontal="right" vertical="center"/>
    </xf>
    <xf numFmtId="164" fontId="53" fillId="35" borderId="0" xfId="1" applyFont="1" applyFill="1" applyBorder="1" applyAlignment="1">
      <alignment vertical="center"/>
    </xf>
    <xf numFmtId="2" fontId="54" fillId="35" borderId="0" xfId="1" applyNumberFormat="1" applyFont="1" applyFill="1" applyBorder="1" applyAlignment="1">
      <alignment horizontal="center" vertical="center"/>
    </xf>
    <xf numFmtId="10" fontId="54" fillId="35" borderId="0" xfId="2" applyNumberFormat="1" applyFont="1" applyFill="1" applyBorder="1" applyAlignment="1">
      <alignment horizontal="center" vertical="center"/>
    </xf>
    <xf numFmtId="165" fontId="53" fillId="35" borderId="0" xfId="1" applyNumberFormat="1" applyFont="1" applyFill="1" applyBorder="1" applyAlignment="1">
      <alignment horizontal="right" vertical="center"/>
    </xf>
    <xf numFmtId="2" fontId="54" fillId="34" borderId="0" xfId="1" applyNumberFormat="1" applyFont="1" applyFill="1" applyBorder="1" applyAlignment="1">
      <alignment horizontal="center" vertical="center"/>
    </xf>
    <xf numFmtId="10" fontId="54" fillId="2" borderId="0" xfId="2" applyNumberFormat="1" applyFont="1" applyFill="1" applyBorder="1" applyAlignment="1">
      <alignment horizontal="center" vertical="center"/>
    </xf>
    <xf numFmtId="2" fontId="53" fillId="35" borderId="0" xfId="1" applyNumberFormat="1" applyFont="1" applyFill="1" applyBorder="1" applyAlignment="1">
      <alignment horizontal="center" vertical="center"/>
    </xf>
    <xf numFmtId="10" fontId="53" fillId="35" borderId="0" xfId="2" applyNumberFormat="1" applyFont="1" applyFill="1" applyBorder="1" applyAlignment="1">
      <alignment horizontal="center" vertical="center"/>
    </xf>
    <xf numFmtId="2" fontId="55" fillId="35" borderId="0" xfId="1" applyNumberFormat="1" applyFont="1" applyFill="1" applyBorder="1" applyAlignment="1">
      <alignment horizontal="center" vertical="center"/>
    </xf>
    <xf numFmtId="10" fontId="55" fillId="35" borderId="0" xfId="2" applyNumberFormat="1" applyFont="1" applyFill="1" applyBorder="1" applyAlignment="1">
      <alignment horizontal="center" vertical="center"/>
    </xf>
    <xf numFmtId="2" fontId="55" fillId="34" borderId="0" xfId="1" applyNumberFormat="1" applyFont="1" applyFill="1" applyBorder="1" applyAlignment="1">
      <alignment horizontal="center" vertical="center"/>
    </xf>
    <xf numFmtId="10" fontId="55" fillId="2" borderId="0" xfId="2" applyNumberFormat="1" applyFont="1" applyFill="1" applyBorder="1" applyAlignment="1">
      <alignment horizontal="center" vertical="center"/>
    </xf>
    <xf numFmtId="0" fontId="47" fillId="2" borderId="0" xfId="0" applyFont="1" applyFill="1" applyBorder="1" applyAlignment="1">
      <alignment horizontal="left" vertical="center" wrapText="1"/>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1 2" xfId="46" xr:uid="{DFE1C710-958E-4645-964D-9C036D1FEEA6}"/>
    <cellStyle name="Heading 2" xfId="5" builtinId="17" customBuiltin="1"/>
    <cellStyle name="Heading 2 2" xfId="48" xr:uid="{1358D3F3-E6EA-46A0-9BE3-7B9EECD806E2}"/>
    <cellStyle name="Heading 3" xfId="6" builtinId="18" customBuiltin="1"/>
    <cellStyle name="Heading 4" xfId="7" builtinId="19" customBuiltin="1"/>
    <cellStyle name="Heading 4 2" xfId="45" xr:uid="{14D28822-F779-4122-BCA6-D620B6C13746}"/>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Percent 2" xfId="47" xr:uid="{B2BF4799-2E53-4984-842C-6BB226BEF125}"/>
    <cellStyle name="Table Details" xfId="50" xr:uid="{7B85CDB2-B426-47AE-B304-281D3830C18A}"/>
    <cellStyle name="Table Heading 1" xfId="49" xr:uid="{704A2D82-5060-4F3F-B5E3-29B9B7926920}"/>
    <cellStyle name="Title" xfId="3" builtinId="15" customBuiltin="1"/>
    <cellStyle name="Title 2" xfId="44" xr:uid="{00979768-128F-4945-A316-CAC0F067285B}"/>
    <cellStyle name="Total" xfId="19" builtinId="25" customBuiltin="1"/>
    <cellStyle name="Warning Text" xfId="16" builtinId="11" customBuiltin="1"/>
  </cellStyles>
  <dxfs count="24">
    <dxf>
      <font>
        <b val="0"/>
        <i val="0"/>
        <strike val="0"/>
        <condense val="0"/>
        <extend val="0"/>
        <outline val="0"/>
        <shadow val="0"/>
        <u val="none"/>
        <vertAlign val="baseline"/>
        <sz val="16"/>
        <color auto="1"/>
        <name val="Apple SD Gothic Neo Thin"/>
        <scheme val="none"/>
      </font>
      <numFmt numFmtId="14"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6"/>
        <color auto="1"/>
        <name val="Apple SD Gothic Neo Thin"/>
        <scheme val="none"/>
      </font>
      <numFmt numFmtId="14" formatCode="0.00%"/>
      <fill>
        <patternFill patternType="solid">
          <fgColor indexed="64"/>
          <bgColor rgb="FFEBDFD9"/>
        </patternFill>
      </fill>
      <alignment horizontal="center" vertical="center" textRotation="0" wrapText="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font>
        <strike val="0"/>
        <outline val="0"/>
        <shadow val="0"/>
        <u val="none"/>
        <vertAlign val="baseline"/>
        <sz val="16"/>
        <color auto="1"/>
        <name val="Apple SD Gothic Neo Thin"/>
        <scheme val="none"/>
      </font>
      <numFmt numFmtId="14"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6"/>
        <color auto="1"/>
        <name val="Apple SD Gothic Neo Thin"/>
        <scheme val="none"/>
      </font>
      <numFmt numFmtId="14" formatCode="0.00%"/>
      <fill>
        <patternFill patternType="solid">
          <fgColor indexed="64"/>
          <bgColor rgb="FFFFFF0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strike val="0"/>
        <outline val="0"/>
        <shadow val="0"/>
        <u val="none"/>
        <vertAlign val="baseline"/>
        <sz val="16"/>
        <color auto="1"/>
        <name val="Apple SD Gothic Neo Thin"/>
        <scheme val="none"/>
      </font>
      <numFmt numFmtId="14" formatCode="0.00%"/>
      <fill>
        <patternFill patternType="solid">
          <fgColor indexed="64"/>
          <bgColor rgb="FFFFFF0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b val="0"/>
        <i val="0"/>
        <strike val="0"/>
        <condense val="0"/>
        <extend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b val="0"/>
        <i val="0"/>
        <strike val="0"/>
        <condense val="0"/>
        <extend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strike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font>
        <b/>
        <strike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i val="0"/>
        <strike val="0"/>
        <condense val="0"/>
        <extend val="0"/>
        <outline val="0"/>
        <shadow val="0"/>
        <u val="none"/>
        <vertAlign val="baseline"/>
        <sz val="16"/>
        <color theme="1" tint="0.249977111117893"/>
        <name val="Apple SD Gothic Neo Thin"/>
        <scheme val="none"/>
      </font>
      <numFmt numFmtId="0" formatCode="General"/>
      <alignment horizontal="left" vertical="center" textRotation="0" wrapText="1" indent="1"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strike val="0"/>
        <outline val="0"/>
        <shadow val="0"/>
        <u val="none"/>
        <vertAlign val="baseline"/>
        <sz val="16"/>
        <color theme="1" tint="0.249977111117893"/>
        <name val="Apple SD Gothic Neo SemiBold"/>
        <scheme val="none"/>
      </font>
      <numFmt numFmtId="0" formatCode="General"/>
      <alignment horizontal="left" vertical="center" textRotation="0" wrapText="1" indent="1"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2"/>
        <name val="Fedra Sans Std Book LF"/>
        <family val="2"/>
        <scheme val="none"/>
      </font>
    </dxf>
    <dxf>
      <border outline="0">
        <top style="thin">
          <color rgb="FFA6A6A6"/>
        </top>
        <bottom style="thin">
          <color rgb="FFA6A6A6"/>
        </bottom>
      </border>
    </dxf>
    <dxf>
      <font>
        <strike val="0"/>
        <outline val="0"/>
        <shadow val="0"/>
        <u val="none"/>
        <vertAlign val="baseline"/>
        <sz val="16"/>
        <color auto="1"/>
        <name val="Apple SD Gothic Neo Thin"/>
        <scheme val="none"/>
      </font>
      <fill>
        <patternFill patternType="none">
          <fgColor rgb="FF000000"/>
          <bgColor auto="1"/>
        </patternFill>
      </fill>
      <alignment horizontal="right" vertical="bottom" textRotation="0" wrapText="0" indent="0" justifyLastLine="0" shrinkToFit="0" readingOrder="0"/>
    </dxf>
    <dxf>
      <border outline="0">
        <bottom style="thin">
          <color rgb="FFA6A6A6"/>
        </bottom>
      </border>
    </dxf>
    <dxf>
      <font>
        <b val="0"/>
        <i val="0"/>
        <strike val="0"/>
        <condense val="0"/>
        <extend val="0"/>
        <outline val="0"/>
        <shadow val="0"/>
        <u val="none"/>
        <vertAlign val="baseline"/>
        <sz val="16"/>
        <color theme="1"/>
        <name val="Apple SD Gothic Neo Thin"/>
        <scheme val="none"/>
      </font>
      <fill>
        <patternFill patternType="solid">
          <fgColor indexed="64"/>
          <bgColor rgb="FFCDE8FF"/>
        </patternFill>
      </fill>
    </dxf>
    <dxf>
      <border>
        <left/>
        <right style="dotted">
          <color theme="5" tint="0.39991454817346722"/>
        </right>
        <top style="thin">
          <color theme="5" tint="0.39994506668294322"/>
        </top>
        <bottom style="thin">
          <color theme="5" tint="0.39994506668294322"/>
        </bottom>
        <vertical style="dotted">
          <color theme="5" tint="0.39994506668294322"/>
        </vertical>
        <horizontal style="thin">
          <color theme="5" tint="0.39994506668294322"/>
        </horizontal>
      </border>
    </dxf>
    <dxf>
      <border>
        <left/>
        <right style="dotted">
          <color theme="5" tint="0.39991454817346722"/>
        </right>
        <top style="thin">
          <color theme="5" tint="0.39994506668294322"/>
        </top>
        <bottom style="thin">
          <color theme="5" tint="0.39994506668294322"/>
        </bottom>
        <vertical style="dotted">
          <color theme="5" tint="0.39991454817346722"/>
        </vertical>
        <horizontal/>
      </border>
    </dxf>
    <dxf>
      <font>
        <b/>
        <i val="0"/>
        <color theme="3"/>
      </font>
      <fill>
        <patternFill patternType="none">
          <bgColor auto="1"/>
        </patternFill>
      </fill>
      <border>
        <vertical/>
        <horizontal/>
      </border>
    </dxf>
    <dxf>
      <font>
        <b/>
        <i val="0"/>
        <color theme="3"/>
      </font>
      <fill>
        <patternFill patternType="none">
          <bgColor auto="1"/>
        </patternFill>
      </fill>
      <border diagonalUp="0" diagonalDown="0">
        <left/>
        <right/>
        <top/>
        <bottom/>
        <vertical/>
        <horizontal/>
      </border>
    </dxf>
    <dxf>
      <border>
        <vertical/>
        <horizontal/>
      </border>
    </dxf>
  </dxfs>
  <tableStyles count="1" defaultTableStyle="TableStyleMedium2" defaultPivotStyle="PivotStyleLight16">
    <tableStyle name="Profit &amp; Loss Revenue" pivot="0" count="5" xr9:uid="{E0C32447-D0A7-462E-A578-B447704104CB}">
      <tableStyleElement type="wholeTable" dxfId="23"/>
      <tableStyleElement type="headerRow" dxfId="22"/>
      <tableStyleElement type="totalRow" dxfId="21"/>
      <tableStyleElement type="firstRowStripe" dxfId="20"/>
      <tableStyleElement type="secondRowStripe" dxfId="19"/>
    </tableStyle>
  </tableStyles>
  <colors>
    <mruColors>
      <color rgb="FF006666"/>
      <color rgb="FF000000"/>
      <color rgb="FF75787B"/>
      <color rgb="FFCC3300"/>
      <color rgb="FF008000"/>
      <color rgb="FF003057"/>
      <color rgb="FF9A6A4F"/>
      <color rgb="FFF3ED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562428</xdr:colOff>
      <xdr:row>115</xdr:row>
      <xdr:rowOff>26313</xdr:rowOff>
    </xdr:from>
    <xdr:to>
      <xdr:col>10</xdr:col>
      <xdr:colOff>1905000</xdr:colOff>
      <xdr:row>122</xdr:row>
      <xdr:rowOff>62598</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562428" y="27821170"/>
          <a:ext cx="15022286" cy="1306285"/>
        </a:xfrm>
        <a:prstGeom prst="rect">
          <a:avLst/>
        </a:prstGeom>
        <a:solidFill>
          <a:srgbClr val="003057"/>
        </a:solidFill>
        <a:ln w="9525" algn="ctr">
          <a:solidFill>
            <a:srgbClr val="003057"/>
          </a:solidFill>
          <a:miter lim="800000"/>
          <a:headEnd/>
          <a:tailEnd/>
        </a:ln>
        <a:effectLst/>
      </xdr:spPr>
      <xdr:txBody>
        <a:bodyPr vertOverflow="clip" wrap="square" lIns="36576" tIns="36576" rIns="36576" bIns="36576"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US" sz="1200" b="1" i="0" u="none" strike="noStrike" kern="0" cap="none" spc="0" normalizeH="0" baseline="0" noProof="0">
              <a:ln>
                <a:noFill/>
              </a:ln>
              <a:solidFill>
                <a:schemeClr val="bg1">
                  <a:lumMod val="85000"/>
                </a:schemeClr>
              </a:solidFill>
              <a:effectLst/>
              <a:uLnTx/>
              <a:uFillTx/>
              <a:latin typeface="Arial" panose="020B0604020202020204" pitchFamily="34" charset="0"/>
              <a:cs typeface="Arial" panose="020B0604020202020204" pitchFamily="34" charset="0"/>
            </a:rPr>
            <a:t>Coronation Research | 10 Amodu Ojikutu Street, Victoria Island, Lagos | marketupdates@coronationsl.com</a:t>
          </a:r>
          <a:endParaRPr kumimoji="0" lang="en-US" sz="1200" b="0" i="0" u="none" strike="noStrike" kern="0" cap="none" spc="0" normalizeH="0" baseline="0" noProof="0">
            <a:ln>
              <a:noFill/>
            </a:ln>
            <a:solidFill>
              <a:schemeClr val="bg1">
                <a:lumMod val="85000"/>
              </a:schemeClr>
            </a:solidFill>
            <a:effectLst/>
            <a:uLnTx/>
            <a:uFillTx/>
            <a:latin typeface="Arial" panose="020B0604020202020204" pitchFamily="34" charset="0"/>
            <a:cs typeface="Arial" panose="020B0604020202020204" pitchFamily="34" charset="0"/>
          </a:endParaRPr>
        </a:p>
      </xdr:txBody>
    </xdr:sp>
    <xdr:clientData/>
  </xdr:twoCellAnchor>
  <xdr:twoCellAnchor editAs="oneCell">
    <xdr:from>
      <xdr:col>8</xdr:col>
      <xdr:colOff>1342570</xdr:colOff>
      <xdr:row>0</xdr:row>
      <xdr:rowOff>55523</xdr:rowOff>
    </xdr:from>
    <xdr:to>
      <xdr:col>11</xdr:col>
      <xdr:colOff>149678</xdr:colOff>
      <xdr:row>4</xdr:row>
      <xdr:rowOff>21751</xdr:rowOff>
    </xdr:to>
    <xdr:pic>
      <xdr:nvPicPr>
        <xdr:cNvPr id="6" name="Picture 5">
          <a:extLst>
            <a:ext uri="{FF2B5EF4-FFF2-40B4-BE49-F238E27FC236}">
              <a16:creationId xmlns:a16="http://schemas.microsoft.com/office/drawing/2014/main" id="{56A42358-2931-4D46-A8AC-A3ABB12591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46856" y="55523"/>
          <a:ext cx="3705679" cy="18530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345623</xdr:colOff>
      <xdr:row>0</xdr:row>
      <xdr:rowOff>219044</xdr:rowOff>
    </xdr:from>
    <xdr:to>
      <xdr:col>16</xdr:col>
      <xdr:colOff>725714</xdr:colOff>
      <xdr:row>4</xdr:row>
      <xdr:rowOff>32031</xdr:rowOff>
    </xdr:to>
    <xdr:pic>
      <xdr:nvPicPr>
        <xdr:cNvPr id="2" name="Picture 1">
          <a:extLst>
            <a:ext uri="{FF2B5EF4-FFF2-40B4-BE49-F238E27FC236}">
              <a16:creationId xmlns:a16="http://schemas.microsoft.com/office/drawing/2014/main" id="{B6CD7621-FCCF-4902-A465-F425469D2A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64766" y="219044"/>
          <a:ext cx="4679948" cy="20627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ictor.Medayedu/Desktop/Victor/Document/Custom%20Office%20Templates/NSE%20Daily%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NSE Daily Data"/>
    </sheetNames>
    <sheetDataSet>
      <sheetData sheetId="0" refreshError="1"/>
      <sheetData sheetId="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AE99AF-10A8-4598-80C7-277209033C1D}" name="Revenue2" displayName="Revenue2" ref="C10:P25" totalsRowShown="0" headerRowDxfId="18" dataDxfId="16" totalsRowDxfId="14" headerRowBorderDxfId="17" tableBorderDxfId="15" dataCellStyle="Percent">
  <autoFilter ref="C10:P25" xr:uid="{21F5237A-27C8-0047-A692-66F799042578}"/>
  <tableColumns count="14">
    <tableColumn id="1" xr3:uid="{4A910E91-F2F6-4B5C-BCA9-A1F920FB1CDC}" name="Column1" dataDxfId="13" dataCellStyle="Table Details"/>
    <tableColumn id="20" xr3:uid="{609E4361-B87A-430A-82A8-7C70E7AF7BE5}" name="Column2" dataDxfId="12" dataCellStyle="Table Details"/>
    <tableColumn id="16" xr3:uid="{003D84A4-6D2C-4E2F-AA6F-95263E26D02D}" name="Column3" dataDxfId="11" dataCellStyle="Percent"/>
    <tableColumn id="17" xr3:uid="{D46FDBFE-CA9C-42CE-92E7-55A875F176A1}" name="Column4" dataDxfId="10" dataCellStyle="Percent"/>
    <tableColumn id="32" xr3:uid="{552C3563-7020-4F55-8C3A-952B2F6A1D13}" name="Column5" dataDxfId="9" dataCellStyle="Percent"/>
    <tableColumn id="19" xr3:uid="{447597BD-262D-4921-8BCE-6056BE58B953}" name="Column6" dataDxfId="8" dataCellStyle="Percent"/>
    <tableColumn id="21" xr3:uid="{03C7853E-9E40-4839-9DFD-022BEE3C34C0}" name="Column7" dataDxfId="7" dataCellStyle="Percent"/>
    <tableColumn id="7" xr3:uid="{901EEABF-F063-489A-951C-625FDFDCCEA8}" name="Column8" dataDxfId="6" dataCellStyle="Percent"/>
    <tableColumn id="9" xr3:uid="{C62AF590-7E92-41F5-90DB-D7A597F5E444}" name="Column9" dataDxfId="5" dataCellStyle="Percent"/>
    <tableColumn id="25" xr3:uid="{7130A25D-6463-48E1-8AFF-3AACFF1C93C3}" name="Column12" dataDxfId="4" dataCellStyle="Percent"/>
    <tableColumn id="8" xr3:uid="{78CBABA7-494E-446B-92A9-B791F5A1080C}" name="Column13" dataDxfId="3" dataCellStyle="Percent"/>
    <tableColumn id="27" xr3:uid="{E04CF584-0028-484D-94CE-E5CBDCB49DCE}" name="Column14" dataDxfId="2" dataCellStyle="Percent"/>
    <tableColumn id="28" xr3:uid="{4A193F5C-5355-4453-BC97-297BD56A60AC}" name="Column15" dataDxfId="1" dataCellStyle="Percent"/>
    <tableColumn id="10" xr3:uid="{BD126A70-4308-436C-98AC-31F73E9C5985}" name="Column16" dataDxfId="0" dataCellStyle="Percent"/>
  </tableColumns>
  <tableStyleInfo name="Profit &amp; Loss Revenue" showFirstColumn="0" showLastColumn="0" showRowStripes="1" showColumnStripes="0"/>
  <extLst>
    <ext xmlns:x14="http://schemas.microsoft.com/office/spreadsheetml/2009/9/main" uri="{504A1905-F514-4f6f-8877-14C23A59335A}">
      <x14:table altTextSummary="Summary of monthly sales, annual total, and monthly percentage for each revenue item"/>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O115"/>
  <sheetViews>
    <sheetView showGridLines="0" tabSelected="1" zoomScale="70" zoomScaleNormal="70" zoomScaleSheetLayoutView="85" workbookViewId="0">
      <selection activeCell="C146" sqref="C146"/>
    </sheetView>
  </sheetViews>
  <sheetFormatPr baseColWidth="10" defaultColWidth="9.1640625" defaultRowHeight="14"/>
  <cols>
    <col min="1" max="1" width="7.5" style="1" customWidth="1"/>
    <col min="2" max="2" width="20.5" style="2" bestFit="1" customWidth="1"/>
    <col min="3" max="3" width="21.5" style="3" customWidth="1"/>
    <col min="4" max="4" width="18" style="4" bestFit="1" customWidth="1"/>
    <col min="5" max="5" width="16.6640625" style="4" bestFit="1" customWidth="1"/>
    <col min="6" max="6" width="16.33203125" style="4" bestFit="1" customWidth="1"/>
    <col min="7" max="7" width="18.5" style="4" bestFit="1" customWidth="1"/>
    <col min="8" max="8" width="21.1640625" style="5" bestFit="1" customWidth="1"/>
    <col min="9" max="9" width="17.83203125" style="7" bestFit="1" customWidth="1"/>
    <col min="10" max="10" width="21.1640625" style="6" bestFit="1" customWidth="1"/>
    <col min="11" max="11" width="25.1640625" style="3" bestFit="1" customWidth="1"/>
    <col min="12" max="16384" width="9.1640625" style="1"/>
  </cols>
  <sheetData>
    <row r="1" spans="2:15" ht="42" customHeight="1">
      <c r="B1" s="8"/>
      <c r="C1" s="8"/>
      <c r="D1" s="8"/>
      <c r="E1" s="8"/>
      <c r="F1" s="8"/>
      <c r="G1" s="8"/>
      <c r="H1" s="8"/>
      <c r="I1" s="8"/>
      <c r="J1" s="8"/>
      <c r="K1" s="8"/>
    </row>
    <row r="2" spans="2:15" ht="42" customHeight="1">
      <c r="B2" s="8"/>
      <c r="C2" s="8"/>
      <c r="D2" s="8"/>
      <c r="E2" s="8"/>
      <c r="F2" s="8"/>
      <c r="G2" s="8"/>
      <c r="H2" s="8"/>
      <c r="I2" s="8"/>
      <c r="J2" s="8"/>
      <c r="K2" s="8"/>
    </row>
    <row r="3" spans="2:15" ht="42" customHeight="1">
      <c r="B3" s="8"/>
      <c r="C3" s="8"/>
      <c r="D3" s="8"/>
      <c r="E3" s="8"/>
      <c r="F3" s="8"/>
      <c r="G3" s="8"/>
      <c r="H3" s="8"/>
      <c r="I3" s="8"/>
      <c r="J3" s="8"/>
      <c r="K3" s="8"/>
    </row>
    <row r="4" spans="2:15" ht="24.75" customHeight="1">
      <c r="B4" s="9"/>
      <c r="C4" s="9"/>
      <c r="D4" s="9"/>
      <c r="E4" s="9"/>
      <c r="F4" s="9"/>
      <c r="G4" s="9"/>
      <c r="H4" s="9"/>
      <c r="I4" s="9"/>
      <c r="J4" s="9"/>
      <c r="K4" s="9"/>
    </row>
    <row r="5" spans="2:15" ht="18.75" customHeight="1">
      <c r="B5" s="85" t="s">
        <v>30</v>
      </c>
      <c r="C5" s="86" t="s">
        <v>31</v>
      </c>
      <c r="D5" s="86" t="s">
        <v>32</v>
      </c>
      <c r="E5" s="86" t="s">
        <v>33</v>
      </c>
      <c r="F5" s="86" t="s">
        <v>34</v>
      </c>
      <c r="G5" s="86" t="s">
        <v>35</v>
      </c>
      <c r="H5" s="87" t="s">
        <v>36</v>
      </c>
      <c r="I5" s="88" t="s">
        <v>37</v>
      </c>
      <c r="J5" s="86" t="s">
        <v>38</v>
      </c>
      <c r="K5" s="86" t="s">
        <v>41</v>
      </c>
    </row>
    <row r="6" spans="2:15" ht="19">
      <c r="B6" s="89" t="s">
        <v>165</v>
      </c>
      <c r="C6" s="90">
        <v>1.05</v>
      </c>
      <c r="D6" s="90">
        <v>1.05</v>
      </c>
      <c r="E6" s="90">
        <v>1.05</v>
      </c>
      <c r="F6" s="90">
        <v>1.05</v>
      </c>
      <c r="G6" s="91">
        <v>1.05</v>
      </c>
      <c r="H6" s="92">
        <v>0</v>
      </c>
      <c r="I6" s="93">
        <v>0</v>
      </c>
      <c r="J6" s="94">
        <v>775</v>
      </c>
      <c r="K6" s="95">
        <v>751.75</v>
      </c>
    </row>
    <row r="7" spans="2:15" ht="19">
      <c r="B7" s="96" t="s">
        <v>75</v>
      </c>
      <c r="C7" s="97">
        <v>0.35</v>
      </c>
      <c r="D7" s="97">
        <v>0.35</v>
      </c>
      <c r="E7" s="97">
        <v>0.35</v>
      </c>
      <c r="F7" s="97">
        <v>0.35</v>
      </c>
      <c r="G7" s="98">
        <v>0.35</v>
      </c>
      <c r="H7" s="104">
        <v>0</v>
      </c>
      <c r="I7" s="105">
        <v>0</v>
      </c>
      <c r="J7" s="101">
        <v>171645</v>
      </c>
      <c r="K7" s="97">
        <v>63427.85</v>
      </c>
    </row>
    <row r="8" spans="2:15" ht="19">
      <c r="B8" s="89" t="s">
        <v>148</v>
      </c>
      <c r="C8" s="90">
        <v>0.33</v>
      </c>
      <c r="D8" s="90">
        <v>0.33</v>
      </c>
      <c r="E8" s="90">
        <v>0.36</v>
      </c>
      <c r="F8" s="90">
        <v>0.36</v>
      </c>
      <c r="G8" s="91">
        <v>0.36</v>
      </c>
      <c r="H8" s="102">
        <v>2.9999999999999971E-2</v>
      </c>
      <c r="I8" s="103">
        <v>9.0909090909090828E-2</v>
      </c>
      <c r="J8" s="94">
        <v>350481</v>
      </c>
      <c r="K8" s="95">
        <v>126144.36</v>
      </c>
      <c r="O8" s="10"/>
    </row>
    <row r="9" spans="2:15" ht="19">
      <c r="B9" s="96" t="s">
        <v>0</v>
      </c>
      <c r="C9" s="97">
        <v>9.3000000000000007</v>
      </c>
      <c r="D9" s="97">
        <v>9.3000000000000007</v>
      </c>
      <c r="E9" s="97">
        <v>9.35</v>
      </c>
      <c r="F9" s="97">
        <v>9.15</v>
      </c>
      <c r="G9" s="98">
        <v>9.15</v>
      </c>
      <c r="H9" s="106">
        <v>-0.15000000000000036</v>
      </c>
      <c r="I9" s="107">
        <v>-1.6129032258064502E-2</v>
      </c>
      <c r="J9" s="101">
        <v>40195196</v>
      </c>
      <c r="K9" s="97">
        <v>371689615.94999999</v>
      </c>
      <c r="O9" s="10"/>
    </row>
    <row r="10" spans="2:15" ht="19">
      <c r="B10" s="89" t="s">
        <v>153</v>
      </c>
      <c r="C10" s="90">
        <v>0.25</v>
      </c>
      <c r="D10" s="90">
        <v>0.25</v>
      </c>
      <c r="E10" s="90">
        <v>0.27</v>
      </c>
      <c r="F10" s="90">
        <v>0.23</v>
      </c>
      <c r="G10" s="91">
        <v>0.23</v>
      </c>
      <c r="H10" s="108">
        <v>-1.999999999999999E-2</v>
      </c>
      <c r="I10" s="109">
        <v>-7.999999999999996E-2</v>
      </c>
      <c r="J10" s="94">
        <v>1629069</v>
      </c>
      <c r="K10" s="95">
        <v>431434.22</v>
      </c>
      <c r="O10" s="10"/>
    </row>
    <row r="11" spans="2:15" ht="19">
      <c r="B11" s="96" t="s">
        <v>1</v>
      </c>
      <c r="C11" s="97">
        <v>7.02</v>
      </c>
      <c r="D11" s="97">
        <v>7.02</v>
      </c>
      <c r="E11" s="98">
        <v>7.15</v>
      </c>
      <c r="F11" s="98">
        <v>7</v>
      </c>
      <c r="G11" s="98">
        <v>7.15</v>
      </c>
      <c r="H11" s="99">
        <v>0.13000000000000078</v>
      </c>
      <c r="I11" s="100">
        <v>1.8518518518518601E-2</v>
      </c>
      <c r="J11" s="101">
        <v>1782264</v>
      </c>
      <c r="K11" s="97">
        <v>12688778.84</v>
      </c>
      <c r="O11" s="10"/>
    </row>
    <row r="12" spans="2:15" ht="19">
      <c r="B12" s="89" t="s">
        <v>157</v>
      </c>
      <c r="C12" s="90">
        <v>0.2</v>
      </c>
      <c r="D12" s="90">
        <v>0.2</v>
      </c>
      <c r="E12" s="90">
        <v>0.2</v>
      </c>
      <c r="F12" s="90">
        <v>0.2</v>
      </c>
      <c r="G12" s="91">
        <v>0.2</v>
      </c>
      <c r="H12" s="92">
        <v>0</v>
      </c>
      <c r="I12" s="93">
        <v>0</v>
      </c>
      <c r="J12" s="94">
        <v>58024</v>
      </c>
      <c r="K12" s="95">
        <v>11604.8</v>
      </c>
      <c r="N12" s="11"/>
      <c r="O12" s="10"/>
    </row>
    <row r="13" spans="2:15" ht="19">
      <c r="B13" s="96" t="s">
        <v>2</v>
      </c>
      <c r="C13" s="97">
        <v>1.4</v>
      </c>
      <c r="D13" s="97">
        <v>1.4</v>
      </c>
      <c r="E13" s="97">
        <v>1.37</v>
      </c>
      <c r="F13" s="97">
        <v>1.36</v>
      </c>
      <c r="G13" s="98">
        <v>1.36</v>
      </c>
      <c r="H13" s="106">
        <v>-3.9999999999999813E-2</v>
      </c>
      <c r="I13" s="107">
        <v>-2.857142857142847E-2</v>
      </c>
      <c r="J13" s="101">
        <v>2026948</v>
      </c>
      <c r="K13" s="97">
        <v>2747814.26</v>
      </c>
    </row>
    <row r="14" spans="2:15" ht="19">
      <c r="B14" s="89" t="s">
        <v>70</v>
      </c>
      <c r="C14" s="90">
        <v>930</v>
      </c>
      <c r="D14" s="90">
        <v>930</v>
      </c>
      <c r="E14" s="90">
        <v>930</v>
      </c>
      <c r="F14" s="90">
        <v>930</v>
      </c>
      <c r="G14" s="91">
        <v>930</v>
      </c>
      <c r="H14" s="92">
        <v>0</v>
      </c>
      <c r="I14" s="93">
        <v>0</v>
      </c>
      <c r="J14" s="94">
        <v>5114</v>
      </c>
      <c r="K14" s="95">
        <v>4679438.5</v>
      </c>
    </row>
    <row r="15" spans="2:15" ht="19">
      <c r="B15" s="96" t="s">
        <v>60</v>
      </c>
      <c r="C15" s="97">
        <v>19</v>
      </c>
      <c r="D15" s="97">
        <v>19</v>
      </c>
      <c r="E15" s="97">
        <v>19.05</v>
      </c>
      <c r="F15" s="97">
        <v>19</v>
      </c>
      <c r="G15" s="98">
        <v>19.05</v>
      </c>
      <c r="H15" s="99">
        <v>5.0000000000000711E-2</v>
      </c>
      <c r="I15" s="100">
        <v>2.6315789473685403E-3</v>
      </c>
      <c r="J15" s="101">
        <v>818773</v>
      </c>
      <c r="K15" s="97">
        <v>15593508</v>
      </c>
    </row>
    <row r="16" spans="2:15" ht="19">
      <c r="B16" s="89" t="s">
        <v>59</v>
      </c>
      <c r="C16" s="90">
        <v>8.0500000000000007</v>
      </c>
      <c r="D16" s="90">
        <v>8.0500000000000007</v>
      </c>
      <c r="E16" s="90">
        <v>8.0500000000000007</v>
      </c>
      <c r="F16" s="90">
        <v>8.0500000000000007</v>
      </c>
      <c r="G16" s="91">
        <v>8.0500000000000007</v>
      </c>
      <c r="H16" s="92">
        <v>0</v>
      </c>
      <c r="I16" s="93">
        <v>0</v>
      </c>
      <c r="J16" s="94">
        <v>31418</v>
      </c>
      <c r="K16" s="95">
        <v>229595.5</v>
      </c>
      <c r="O16" s="10"/>
    </row>
    <row r="17" spans="2:15" ht="19">
      <c r="B17" s="96" t="s">
        <v>79</v>
      </c>
      <c r="C17" s="97">
        <v>55.4</v>
      </c>
      <c r="D17" s="97">
        <v>55.4</v>
      </c>
      <c r="E17" s="97">
        <v>55.4</v>
      </c>
      <c r="F17" s="97">
        <v>55.4</v>
      </c>
      <c r="G17" s="98">
        <v>55.4</v>
      </c>
      <c r="H17" s="104">
        <v>0</v>
      </c>
      <c r="I17" s="105">
        <v>0</v>
      </c>
      <c r="J17" s="101">
        <v>69502</v>
      </c>
      <c r="K17" s="97">
        <v>4053246.1</v>
      </c>
      <c r="O17" s="10"/>
    </row>
    <row r="18" spans="2:15" ht="19">
      <c r="B18" s="89" t="s">
        <v>135</v>
      </c>
      <c r="C18" s="90">
        <v>15.12</v>
      </c>
      <c r="D18" s="90">
        <v>15.12</v>
      </c>
      <c r="E18" s="90">
        <v>15.12</v>
      </c>
      <c r="F18" s="90">
        <v>15.12</v>
      </c>
      <c r="G18" s="91">
        <v>15.12</v>
      </c>
      <c r="H18" s="92">
        <v>0</v>
      </c>
      <c r="I18" s="93">
        <v>0</v>
      </c>
      <c r="J18" s="94">
        <v>158321</v>
      </c>
      <c r="K18" s="95">
        <v>2171748.81</v>
      </c>
      <c r="O18" s="10"/>
    </row>
    <row r="19" spans="2:15" ht="19">
      <c r="B19" s="96" t="s">
        <v>71</v>
      </c>
      <c r="C19" s="97">
        <v>79</v>
      </c>
      <c r="D19" s="97">
        <v>79</v>
      </c>
      <c r="E19" s="98">
        <v>79</v>
      </c>
      <c r="F19" s="98">
        <v>79</v>
      </c>
      <c r="G19" s="98">
        <v>79</v>
      </c>
      <c r="H19" s="104">
        <v>0</v>
      </c>
      <c r="I19" s="105">
        <v>0</v>
      </c>
      <c r="J19" s="101">
        <v>145240</v>
      </c>
      <c r="K19" s="97">
        <v>10975529.800000001</v>
      </c>
      <c r="O19" s="10"/>
    </row>
    <row r="20" spans="2:15" ht="19">
      <c r="B20" s="89" t="s">
        <v>3</v>
      </c>
      <c r="C20" s="90">
        <v>8.8000000000000007</v>
      </c>
      <c r="D20" s="90">
        <v>8.8000000000000007</v>
      </c>
      <c r="E20" s="90">
        <v>9.1999999999999993</v>
      </c>
      <c r="F20" s="90">
        <v>9.1999999999999993</v>
      </c>
      <c r="G20" s="91">
        <v>9.1999999999999993</v>
      </c>
      <c r="H20" s="102">
        <v>0.39999999999999858</v>
      </c>
      <c r="I20" s="103">
        <v>4.5454545454545192E-2</v>
      </c>
      <c r="J20" s="94">
        <v>614732</v>
      </c>
      <c r="K20" s="95">
        <v>5670606.7000000002</v>
      </c>
      <c r="O20" s="10"/>
    </row>
    <row r="21" spans="2:15" ht="19">
      <c r="B21" s="96" t="s">
        <v>69</v>
      </c>
      <c r="C21" s="97">
        <v>20</v>
      </c>
      <c r="D21" s="97">
        <v>20</v>
      </c>
      <c r="E21" s="98">
        <v>20</v>
      </c>
      <c r="F21" s="98">
        <v>20</v>
      </c>
      <c r="G21" s="98">
        <v>20</v>
      </c>
      <c r="H21" s="104">
        <v>0</v>
      </c>
      <c r="I21" s="105">
        <v>0</v>
      </c>
      <c r="J21" s="101">
        <v>558622</v>
      </c>
      <c r="K21" s="97">
        <v>11109054.699999999</v>
      </c>
    </row>
    <row r="22" spans="2:15" ht="19">
      <c r="B22" s="89" t="s">
        <v>166</v>
      </c>
      <c r="C22" s="90">
        <v>2.2000000000000002</v>
      </c>
      <c r="D22" s="90">
        <v>2.2000000000000002</v>
      </c>
      <c r="E22" s="90">
        <v>2.2000000000000002</v>
      </c>
      <c r="F22" s="90">
        <v>2.2000000000000002</v>
      </c>
      <c r="G22" s="91">
        <v>2.2000000000000002</v>
      </c>
      <c r="H22" s="92">
        <v>0</v>
      </c>
      <c r="I22" s="93">
        <v>0</v>
      </c>
      <c r="J22" s="94">
        <v>102624</v>
      </c>
      <c r="K22" s="95">
        <v>246964.08</v>
      </c>
    </row>
    <row r="23" spans="2:15" ht="19">
      <c r="B23" s="96" t="s">
        <v>58</v>
      </c>
      <c r="C23" s="97">
        <v>2</v>
      </c>
      <c r="D23" s="97">
        <v>2</v>
      </c>
      <c r="E23" s="97">
        <v>2.0499999999999998</v>
      </c>
      <c r="F23" s="97">
        <v>2</v>
      </c>
      <c r="G23" s="98">
        <v>2.0299999999999998</v>
      </c>
      <c r="H23" s="99">
        <v>2.9999999999999805E-2</v>
      </c>
      <c r="I23" s="100">
        <v>1.4999999999999902E-2</v>
      </c>
      <c r="J23" s="101">
        <v>1795603</v>
      </c>
      <c r="K23" s="97">
        <v>3634996.6</v>
      </c>
    </row>
    <row r="24" spans="2:15" ht="19">
      <c r="B24" s="89" t="s">
        <v>73</v>
      </c>
      <c r="C24" s="90">
        <v>3.11</v>
      </c>
      <c r="D24" s="90">
        <v>3.11</v>
      </c>
      <c r="E24" s="90">
        <v>3.42</v>
      </c>
      <c r="F24" s="90">
        <v>3.42</v>
      </c>
      <c r="G24" s="91">
        <v>3.42</v>
      </c>
      <c r="H24" s="102">
        <v>0.31000000000000005</v>
      </c>
      <c r="I24" s="103">
        <v>9.9678456591639986E-2</v>
      </c>
      <c r="J24" s="94">
        <v>1962260</v>
      </c>
      <c r="K24" s="95">
        <v>6710619.2000000002</v>
      </c>
    </row>
    <row r="25" spans="2:15" ht="19">
      <c r="B25" s="96" t="s">
        <v>52</v>
      </c>
      <c r="C25" s="97">
        <v>0.26</v>
      </c>
      <c r="D25" s="97">
        <v>0.26</v>
      </c>
      <c r="E25" s="98">
        <v>0.26</v>
      </c>
      <c r="F25" s="98">
        <v>0.24</v>
      </c>
      <c r="G25" s="98">
        <v>0.25</v>
      </c>
      <c r="H25" s="106">
        <v>-1.0000000000000009E-2</v>
      </c>
      <c r="I25" s="107">
        <v>-3.8461538461538547E-2</v>
      </c>
      <c r="J25" s="101">
        <v>3514581</v>
      </c>
      <c r="K25" s="97">
        <v>888332.49</v>
      </c>
    </row>
    <row r="26" spans="2:15" ht="19">
      <c r="B26" s="89" t="s">
        <v>139</v>
      </c>
      <c r="C26" s="90">
        <v>0.44</v>
      </c>
      <c r="D26" s="90">
        <v>0.44</v>
      </c>
      <c r="E26" s="90">
        <v>0.46</v>
      </c>
      <c r="F26" s="90">
        <v>0.42</v>
      </c>
      <c r="G26" s="91">
        <v>0.42</v>
      </c>
      <c r="H26" s="108">
        <v>-2.0000000000000018E-2</v>
      </c>
      <c r="I26" s="109">
        <v>-4.5454545454545525E-2</v>
      </c>
      <c r="J26" s="94">
        <v>487617</v>
      </c>
      <c r="K26" s="95">
        <v>213144.1</v>
      </c>
    </row>
    <row r="27" spans="2:15" ht="19">
      <c r="B27" s="96" t="s">
        <v>160</v>
      </c>
      <c r="C27" s="97">
        <v>5.13</v>
      </c>
      <c r="D27" s="97">
        <v>5.13</v>
      </c>
      <c r="E27" s="98">
        <v>5.13</v>
      </c>
      <c r="F27" s="98">
        <v>5.13</v>
      </c>
      <c r="G27" s="98">
        <v>5.13</v>
      </c>
      <c r="H27" s="104">
        <v>0</v>
      </c>
      <c r="I27" s="105">
        <v>0</v>
      </c>
      <c r="J27" s="101">
        <v>409748</v>
      </c>
      <c r="K27" s="97">
        <v>2076062.19</v>
      </c>
    </row>
    <row r="28" spans="2:15" ht="19">
      <c r="B28" s="89" t="s">
        <v>55</v>
      </c>
      <c r="C28" s="90">
        <v>21</v>
      </c>
      <c r="D28" s="90">
        <v>21</v>
      </c>
      <c r="E28" s="90">
        <v>21</v>
      </c>
      <c r="F28" s="90">
        <v>21</v>
      </c>
      <c r="G28" s="91">
        <v>21</v>
      </c>
      <c r="H28" s="92">
        <v>0</v>
      </c>
      <c r="I28" s="93">
        <v>0</v>
      </c>
      <c r="J28" s="94">
        <v>79014</v>
      </c>
      <c r="K28" s="95">
        <v>1580735.8</v>
      </c>
    </row>
    <row r="29" spans="2:15" ht="19">
      <c r="B29" s="96" t="s">
        <v>72</v>
      </c>
      <c r="C29" s="97">
        <v>0.68</v>
      </c>
      <c r="D29" s="97">
        <v>0.68</v>
      </c>
      <c r="E29" s="98">
        <v>0.65</v>
      </c>
      <c r="F29" s="98">
        <v>0.65</v>
      </c>
      <c r="G29" s="98">
        <v>0.65</v>
      </c>
      <c r="H29" s="106">
        <v>-3.0000000000000027E-2</v>
      </c>
      <c r="I29" s="107">
        <v>-4.4117647058823595E-2</v>
      </c>
      <c r="J29" s="101">
        <v>607213</v>
      </c>
      <c r="K29" s="97">
        <v>399814.45</v>
      </c>
    </row>
    <row r="30" spans="2:15" ht="19">
      <c r="B30" s="89" t="s">
        <v>149</v>
      </c>
      <c r="C30" s="90">
        <v>0.22</v>
      </c>
      <c r="D30" s="90">
        <v>0.22</v>
      </c>
      <c r="E30" s="90">
        <v>0.22</v>
      </c>
      <c r="F30" s="90">
        <v>0.2</v>
      </c>
      <c r="G30" s="91">
        <v>0.22</v>
      </c>
      <c r="H30" s="92">
        <v>0</v>
      </c>
      <c r="I30" s="93">
        <v>0</v>
      </c>
      <c r="J30" s="94">
        <v>5076613</v>
      </c>
      <c r="K30" s="95">
        <v>1100956.46</v>
      </c>
    </row>
    <row r="31" spans="2:15" ht="19">
      <c r="B31" s="96" t="s">
        <v>65</v>
      </c>
      <c r="C31" s="97">
        <v>6</v>
      </c>
      <c r="D31" s="97">
        <v>6</v>
      </c>
      <c r="E31" s="97">
        <v>6</v>
      </c>
      <c r="F31" s="97">
        <v>6</v>
      </c>
      <c r="G31" s="98">
        <v>6</v>
      </c>
      <c r="H31" s="104">
        <v>0</v>
      </c>
      <c r="I31" s="105">
        <v>0</v>
      </c>
      <c r="J31" s="101">
        <v>109788</v>
      </c>
      <c r="K31" s="97">
        <v>679009.8</v>
      </c>
    </row>
    <row r="32" spans="2:15" ht="19">
      <c r="B32" s="89" t="s">
        <v>66</v>
      </c>
      <c r="C32" s="90">
        <v>2.25</v>
      </c>
      <c r="D32" s="90">
        <v>2.25</v>
      </c>
      <c r="E32" s="90">
        <v>2.2999999999999998</v>
      </c>
      <c r="F32" s="90">
        <v>2.2999999999999998</v>
      </c>
      <c r="G32" s="91">
        <v>2.2999999999999998</v>
      </c>
      <c r="H32" s="102">
        <v>4.9999999999999822E-2</v>
      </c>
      <c r="I32" s="103">
        <v>2.2222222222222143E-2</v>
      </c>
      <c r="J32" s="94">
        <v>370776</v>
      </c>
      <c r="K32" s="95">
        <v>849236.5</v>
      </c>
    </row>
    <row r="33" spans="2:11" ht="19">
      <c r="B33" s="96" t="s">
        <v>4</v>
      </c>
      <c r="C33" s="97">
        <v>236</v>
      </c>
      <c r="D33" s="97">
        <v>236</v>
      </c>
      <c r="E33" s="97">
        <v>236</v>
      </c>
      <c r="F33" s="97">
        <v>236</v>
      </c>
      <c r="G33" s="98">
        <v>236</v>
      </c>
      <c r="H33" s="104">
        <v>0</v>
      </c>
      <c r="I33" s="105">
        <v>0</v>
      </c>
      <c r="J33" s="101">
        <v>805574</v>
      </c>
      <c r="K33" s="97">
        <v>189937713.09999999</v>
      </c>
    </row>
    <row r="34" spans="2:11" ht="19">
      <c r="B34" s="89" t="s">
        <v>5</v>
      </c>
      <c r="C34" s="90">
        <v>21.25</v>
      </c>
      <c r="D34" s="90">
        <v>21.25</v>
      </c>
      <c r="E34" s="90">
        <v>21.8</v>
      </c>
      <c r="F34" s="90">
        <v>21.4</v>
      </c>
      <c r="G34" s="91">
        <v>21.7</v>
      </c>
      <c r="H34" s="102">
        <v>0.44999999999999929</v>
      </c>
      <c r="I34" s="103">
        <v>2.1176470588235352E-2</v>
      </c>
      <c r="J34" s="94">
        <v>4934491</v>
      </c>
      <c r="K34" s="95">
        <v>106954182.34999999</v>
      </c>
    </row>
    <row r="35" spans="2:11" ht="19">
      <c r="B35" s="96" t="s">
        <v>167</v>
      </c>
      <c r="C35" s="97">
        <v>0.2</v>
      </c>
      <c r="D35" s="97">
        <v>0.2</v>
      </c>
      <c r="E35" s="98">
        <v>0.2</v>
      </c>
      <c r="F35" s="98">
        <v>0.2</v>
      </c>
      <c r="G35" s="98">
        <v>0.2</v>
      </c>
      <c r="H35" s="104">
        <v>0</v>
      </c>
      <c r="I35" s="105">
        <v>0</v>
      </c>
      <c r="J35" s="101">
        <v>501000</v>
      </c>
      <c r="K35" s="97">
        <v>100200</v>
      </c>
    </row>
    <row r="36" spans="2:11" ht="19">
      <c r="B36" s="89" t="s">
        <v>168</v>
      </c>
      <c r="C36" s="90">
        <v>6</v>
      </c>
      <c r="D36" s="90">
        <v>6</v>
      </c>
      <c r="E36" s="90">
        <v>6</v>
      </c>
      <c r="F36" s="90">
        <v>6</v>
      </c>
      <c r="G36" s="91">
        <v>6</v>
      </c>
      <c r="H36" s="92">
        <v>0</v>
      </c>
      <c r="I36" s="93">
        <v>0</v>
      </c>
      <c r="J36" s="94">
        <v>2985</v>
      </c>
      <c r="K36" s="95">
        <v>16119</v>
      </c>
    </row>
    <row r="37" spans="2:11" ht="19">
      <c r="B37" s="96" t="s">
        <v>169</v>
      </c>
      <c r="C37" s="97">
        <v>4.25</v>
      </c>
      <c r="D37" s="97">
        <v>4.25</v>
      </c>
      <c r="E37" s="97">
        <v>4.25</v>
      </c>
      <c r="F37" s="97">
        <v>4.25</v>
      </c>
      <c r="G37" s="98">
        <v>4.25</v>
      </c>
      <c r="H37" s="104">
        <v>0</v>
      </c>
      <c r="I37" s="105">
        <v>0</v>
      </c>
      <c r="J37" s="101">
        <v>20000</v>
      </c>
      <c r="K37" s="97">
        <v>85000</v>
      </c>
    </row>
    <row r="38" spans="2:11" ht="19">
      <c r="B38" s="89" t="s">
        <v>39</v>
      </c>
      <c r="C38" s="90">
        <v>5.2</v>
      </c>
      <c r="D38" s="90">
        <v>5.2</v>
      </c>
      <c r="E38" s="90">
        <v>5.2</v>
      </c>
      <c r="F38" s="90">
        <v>5.2</v>
      </c>
      <c r="G38" s="91">
        <v>5.2</v>
      </c>
      <c r="H38" s="92">
        <v>0</v>
      </c>
      <c r="I38" s="93">
        <v>0</v>
      </c>
      <c r="J38" s="94">
        <v>278072</v>
      </c>
      <c r="K38" s="95">
        <v>1389003.4</v>
      </c>
    </row>
    <row r="39" spans="2:11" ht="19">
      <c r="B39" s="96" t="s">
        <v>6</v>
      </c>
      <c r="C39" s="97">
        <v>6.5</v>
      </c>
      <c r="D39" s="97">
        <v>6.5</v>
      </c>
      <c r="E39" s="98">
        <v>6.75</v>
      </c>
      <c r="F39" s="98">
        <v>6.5</v>
      </c>
      <c r="G39" s="98">
        <v>6.75</v>
      </c>
      <c r="H39" s="99">
        <v>0.25</v>
      </c>
      <c r="I39" s="100">
        <v>3.8461538461538547E-2</v>
      </c>
      <c r="J39" s="101">
        <v>3808064</v>
      </c>
      <c r="K39" s="97">
        <v>25292724.800000001</v>
      </c>
    </row>
    <row r="40" spans="2:11" ht="19">
      <c r="B40" s="89" t="s">
        <v>164</v>
      </c>
      <c r="C40" s="90">
        <v>2.33</v>
      </c>
      <c r="D40" s="90">
        <v>2.33</v>
      </c>
      <c r="E40" s="90">
        <v>2.33</v>
      </c>
      <c r="F40" s="90">
        <v>2.33</v>
      </c>
      <c r="G40" s="91">
        <v>2.33</v>
      </c>
      <c r="H40" s="92">
        <v>0</v>
      </c>
      <c r="I40" s="93">
        <v>0</v>
      </c>
      <c r="J40" s="94">
        <v>97128</v>
      </c>
      <c r="K40" s="95">
        <v>226667.96</v>
      </c>
    </row>
    <row r="41" spans="2:11" ht="19">
      <c r="B41" s="96" t="s">
        <v>7</v>
      </c>
      <c r="C41" s="97">
        <v>7.6</v>
      </c>
      <c r="D41" s="97">
        <v>7.6</v>
      </c>
      <c r="E41" s="98">
        <v>7.6</v>
      </c>
      <c r="F41" s="98">
        <v>7.35</v>
      </c>
      <c r="G41" s="98">
        <v>7.5</v>
      </c>
      <c r="H41" s="106">
        <v>-9.9999999999999645E-2</v>
      </c>
      <c r="I41" s="107">
        <v>-1.3157894736842035E-2</v>
      </c>
      <c r="J41" s="101">
        <v>37513314</v>
      </c>
      <c r="K41" s="97">
        <v>282350578.89999998</v>
      </c>
    </row>
    <row r="42" spans="2:11" ht="19">
      <c r="B42" s="89" t="s">
        <v>8</v>
      </c>
      <c r="C42" s="90">
        <v>3.38</v>
      </c>
      <c r="D42" s="90">
        <v>3.38</v>
      </c>
      <c r="E42" s="90">
        <v>3.37</v>
      </c>
      <c r="F42" s="90">
        <v>3.35</v>
      </c>
      <c r="G42" s="91">
        <v>3.37</v>
      </c>
      <c r="H42" s="108">
        <v>-9.9999999999997868E-3</v>
      </c>
      <c r="I42" s="109">
        <v>-2.9585798816567088E-3</v>
      </c>
      <c r="J42" s="94">
        <v>1828726</v>
      </c>
      <c r="K42" s="95">
        <v>6146492.54</v>
      </c>
    </row>
    <row r="43" spans="2:11" ht="19">
      <c r="B43" s="96" t="s">
        <v>9</v>
      </c>
      <c r="C43" s="97">
        <v>2.72</v>
      </c>
      <c r="D43" s="97">
        <v>2.72</v>
      </c>
      <c r="E43" s="98">
        <v>2.75</v>
      </c>
      <c r="F43" s="98">
        <v>2.7</v>
      </c>
      <c r="G43" s="98">
        <v>2.71</v>
      </c>
      <c r="H43" s="106">
        <v>-1.0000000000000231E-2</v>
      </c>
      <c r="I43" s="107">
        <v>-3.6764705882353921E-3</v>
      </c>
      <c r="J43" s="101">
        <v>22303037</v>
      </c>
      <c r="K43" s="97">
        <v>60635969.170000002</v>
      </c>
    </row>
    <row r="44" spans="2:11" ht="19">
      <c r="B44" s="89" t="s">
        <v>62</v>
      </c>
      <c r="C44" s="90">
        <v>6.05</v>
      </c>
      <c r="D44" s="90">
        <v>6.05</v>
      </c>
      <c r="E44" s="90">
        <v>6.3</v>
      </c>
      <c r="F44" s="90">
        <v>6.05</v>
      </c>
      <c r="G44" s="91">
        <v>6.15</v>
      </c>
      <c r="H44" s="102">
        <v>0.10000000000000053</v>
      </c>
      <c r="I44" s="103">
        <v>1.6528925619834878E-2</v>
      </c>
      <c r="J44" s="94">
        <v>1962048</v>
      </c>
      <c r="K44" s="95">
        <v>12025763.9</v>
      </c>
    </row>
    <row r="45" spans="2:11" ht="19">
      <c r="B45" s="96" t="s">
        <v>10</v>
      </c>
      <c r="C45" s="97">
        <v>34.700000000000003</v>
      </c>
      <c r="D45" s="97">
        <v>34.700000000000003</v>
      </c>
      <c r="E45" s="97">
        <v>34.700000000000003</v>
      </c>
      <c r="F45" s="97">
        <v>33.6</v>
      </c>
      <c r="G45" s="98">
        <v>33.6</v>
      </c>
      <c r="H45" s="106">
        <v>-1.1000000000000014</v>
      </c>
      <c r="I45" s="107">
        <v>-3.1700288184438041E-2</v>
      </c>
      <c r="J45" s="101">
        <v>5975622</v>
      </c>
      <c r="K45" s="97">
        <v>203006358.30000001</v>
      </c>
    </row>
    <row r="46" spans="2:11" ht="19">
      <c r="B46" s="89" t="s">
        <v>144</v>
      </c>
      <c r="C46" s="90">
        <v>0.55000000000000004</v>
      </c>
      <c r="D46" s="90">
        <v>0.55000000000000004</v>
      </c>
      <c r="E46" s="90">
        <v>0.59</v>
      </c>
      <c r="F46" s="90">
        <v>0.5</v>
      </c>
      <c r="G46" s="91">
        <v>0.55000000000000004</v>
      </c>
      <c r="H46" s="92">
        <v>0</v>
      </c>
      <c r="I46" s="93">
        <v>0</v>
      </c>
      <c r="J46" s="94">
        <v>5222267</v>
      </c>
      <c r="K46" s="95">
        <v>2792108.16</v>
      </c>
    </row>
    <row r="47" spans="2:11" ht="19">
      <c r="B47" s="96" t="s">
        <v>48</v>
      </c>
      <c r="C47" s="97">
        <v>7.2</v>
      </c>
      <c r="D47" s="97">
        <v>7.2</v>
      </c>
      <c r="E47" s="97">
        <v>7.25</v>
      </c>
      <c r="F47" s="97">
        <v>7.2</v>
      </c>
      <c r="G47" s="98">
        <v>7.25</v>
      </c>
      <c r="H47" s="99">
        <v>4.9999999999999822E-2</v>
      </c>
      <c r="I47" s="100">
        <v>6.9444444444444198E-3</v>
      </c>
      <c r="J47" s="101">
        <v>1729075</v>
      </c>
      <c r="K47" s="97">
        <v>12494300.35</v>
      </c>
    </row>
    <row r="48" spans="2:11" ht="19">
      <c r="B48" s="96" t="s">
        <v>11</v>
      </c>
      <c r="C48" s="97">
        <v>34.5</v>
      </c>
      <c r="D48" s="97">
        <v>34.5</v>
      </c>
      <c r="E48" s="98">
        <v>34.5</v>
      </c>
      <c r="F48" s="98">
        <v>34.450000000000003</v>
      </c>
      <c r="G48" s="98">
        <v>34.5</v>
      </c>
      <c r="H48" s="104">
        <v>0</v>
      </c>
      <c r="I48" s="105">
        <v>0</v>
      </c>
      <c r="J48" s="101">
        <v>22580000</v>
      </c>
      <c r="K48" s="97">
        <v>778980021.89999998</v>
      </c>
    </row>
    <row r="49" spans="2:11" ht="19">
      <c r="B49" s="89" t="s">
        <v>155</v>
      </c>
      <c r="C49" s="90">
        <v>0.22</v>
      </c>
      <c r="D49" s="90">
        <v>0.22</v>
      </c>
      <c r="E49" s="90">
        <v>0.23</v>
      </c>
      <c r="F49" s="90">
        <v>0.2</v>
      </c>
      <c r="G49" s="91">
        <v>0.2</v>
      </c>
      <c r="H49" s="108">
        <v>-1.999999999999999E-2</v>
      </c>
      <c r="I49" s="109">
        <v>-9.0909090909090828E-2</v>
      </c>
      <c r="J49" s="94">
        <v>838180</v>
      </c>
      <c r="K49" s="95">
        <v>181681.4</v>
      </c>
    </row>
    <row r="50" spans="2:11" ht="19">
      <c r="B50" s="96" t="s">
        <v>12</v>
      </c>
      <c r="C50" s="97">
        <v>19</v>
      </c>
      <c r="D50" s="97">
        <v>19</v>
      </c>
      <c r="E50" s="97">
        <v>19.149999999999999</v>
      </c>
      <c r="F50" s="97">
        <v>19.149999999999999</v>
      </c>
      <c r="G50" s="98">
        <v>19.149999999999999</v>
      </c>
      <c r="H50" s="99">
        <v>0.14999999999999858</v>
      </c>
      <c r="I50" s="100">
        <v>7.8947368421051767E-3</v>
      </c>
      <c r="J50" s="101">
        <v>629369</v>
      </c>
      <c r="K50" s="97">
        <v>12181338.050000001</v>
      </c>
    </row>
    <row r="51" spans="2:11" ht="19">
      <c r="B51" s="89" t="s">
        <v>43</v>
      </c>
      <c r="C51" s="90">
        <v>1.3</v>
      </c>
      <c r="D51" s="90">
        <v>1.41</v>
      </c>
      <c r="E51" s="90">
        <v>1.43</v>
      </c>
      <c r="F51" s="90">
        <v>1.37</v>
      </c>
      <c r="G51" s="91">
        <v>1.43</v>
      </c>
      <c r="H51" s="102">
        <v>0.12999999999999989</v>
      </c>
      <c r="I51" s="103">
        <v>9.9999999999999867E-2</v>
      </c>
      <c r="J51" s="94">
        <v>25122393</v>
      </c>
      <c r="K51" s="95">
        <v>35605728.979999997</v>
      </c>
    </row>
    <row r="52" spans="2:11" ht="19">
      <c r="B52" s="96" t="s">
        <v>51</v>
      </c>
      <c r="C52" s="97">
        <v>6</v>
      </c>
      <c r="D52" s="97">
        <v>6</v>
      </c>
      <c r="E52" s="98">
        <v>6.54</v>
      </c>
      <c r="F52" s="98">
        <v>6.2</v>
      </c>
      <c r="G52" s="98">
        <v>6.4</v>
      </c>
      <c r="H52" s="99">
        <v>0.40000000000000036</v>
      </c>
      <c r="I52" s="100">
        <v>6.6666666666666652E-2</v>
      </c>
      <c r="J52" s="101">
        <v>2732365</v>
      </c>
      <c r="K52" s="97">
        <v>17241970.010000002</v>
      </c>
    </row>
    <row r="53" spans="2:11" ht="19">
      <c r="B53" s="89" t="s">
        <v>50</v>
      </c>
      <c r="C53" s="90">
        <v>0.65</v>
      </c>
      <c r="D53" s="90">
        <v>0.65</v>
      </c>
      <c r="E53" s="90">
        <v>0.71</v>
      </c>
      <c r="F53" s="90">
        <v>0.66</v>
      </c>
      <c r="G53" s="91">
        <v>0.71</v>
      </c>
      <c r="H53" s="102">
        <v>5.9999999999999942E-2</v>
      </c>
      <c r="I53" s="103">
        <v>9.2307692307692202E-2</v>
      </c>
      <c r="J53" s="94">
        <v>11567606</v>
      </c>
      <c r="K53" s="95">
        <v>7912020.5</v>
      </c>
    </row>
    <row r="54" spans="2:11" ht="19">
      <c r="B54" s="96" t="s">
        <v>145</v>
      </c>
      <c r="C54" s="97">
        <v>0.91</v>
      </c>
      <c r="D54" s="97">
        <v>0.91</v>
      </c>
      <c r="E54" s="98">
        <v>0.98</v>
      </c>
      <c r="F54" s="98">
        <v>0.86</v>
      </c>
      <c r="G54" s="98">
        <v>0.92</v>
      </c>
      <c r="H54" s="99">
        <v>1.0000000000000009E-2</v>
      </c>
      <c r="I54" s="100">
        <v>1.098901098901095E-2</v>
      </c>
      <c r="J54" s="101">
        <v>8723329</v>
      </c>
      <c r="K54" s="97">
        <v>8044267.4100000001</v>
      </c>
    </row>
    <row r="55" spans="2:11" ht="19">
      <c r="B55" s="89" t="s">
        <v>44</v>
      </c>
      <c r="C55" s="90">
        <v>22.65</v>
      </c>
      <c r="D55" s="90">
        <v>22.65</v>
      </c>
      <c r="E55" s="90">
        <v>21</v>
      </c>
      <c r="F55" s="90">
        <v>21</v>
      </c>
      <c r="G55" s="91">
        <v>21</v>
      </c>
      <c r="H55" s="108">
        <v>-1.6499999999999986</v>
      </c>
      <c r="I55" s="109">
        <v>-7.2847682119205226E-2</v>
      </c>
      <c r="J55" s="94">
        <v>1190977</v>
      </c>
      <c r="K55" s="95">
        <v>25015578.199999999</v>
      </c>
    </row>
    <row r="56" spans="2:11" ht="19">
      <c r="B56" s="96" t="s">
        <v>146</v>
      </c>
      <c r="C56" s="97">
        <v>0.47</v>
      </c>
      <c r="D56" s="97">
        <v>0.47</v>
      </c>
      <c r="E56" s="98">
        <v>0.5</v>
      </c>
      <c r="F56" s="98">
        <v>0.47</v>
      </c>
      <c r="G56" s="98">
        <v>0.5</v>
      </c>
      <c r="H56" s="99">
        <v>3.0000000000000027E-2</v>
      </c>
      <c r="I56" s="100">
        <v>6.3829787234042534E-2</v>
      </c>
      <c r="J56" s="101">
        <v>525641</v>
      </c>
      <c r="K56" s="97">
        <v>252173.5</v>
      </c>
    </row>
    <row r="57" spans="2:11" ht="19">
      <c r="B57" s="89" t="s">
        <v>140</v>
      </c>
      <c r="C57" s="90">
        <v>1.01</v>
      </c>
      <c r="D57" s="90">
        <v>1.01</v>
      </c>
      <c r="E57" s="90">
        <v>1.07</v>
      </c>
      <c r="F57" s="90">
        <v>1.07</v>
      </c>
      <c r="G57" s="91">
        <v>1.07</v>
      </c>
      <c r="H57" s="102">
        <v>6.0000000000000053E-2</v>
      </c>
      <c r="I57" s="103">
        <v>5.9405940594059459E-2</v>
      </c>
      <c r="J57" s="94">
        <v>842238</v>
      </c>
      <c r="K57" s="95">
        <v>901385.76</v>
      </c>
    </row>
    <row r="58" spans="2:11" ht="19">
      <c r="B58" s="96" t="s">
        <v>74</v>
      </c>
      <c r="C58" s="97">
        <v>0.9</v>
      </c>
      <c r="D58" s="97">
        <v>0.9</v>
      </c>
      <c r="E58" s="97">
        <v>0.9</v>
      </c>
      <c r="F58" s="97">
        <v>0.9</v>
      </c>
      <c r="G58" s="98">
        <v>0.9</v>
      </c>
      <c r="H58" s="104">
        <v>0</v>
      </c>
      <c r="I58" s="105">
        <v>0</v>
      </c>
      <c r="J58" s="101">
        <v>1000</v>
      </c>
      <c r="K58" s="97">
        <v>810</v>
      </c>
    </row>
    <row r="59" spans="2:11" ht="19">
      <c r="B59" s="89" t="s">
        <v>56</v>
      </c>
      <c r="C59" s="90">
        <v>2.58</v>
      </c>
      <c r="D59" s="90">
        <v>2.58</v>
      </c>
      <c r="E59" s="90">
        <v>2.67</v>
      </c>
      <c r="F59" s="90">
        <v>2.5299999999999998</v>
      </c>
      <c r="G59" s="91">
        <v>2.5299999999999998</v>
      </c>
      <c r="H59" s="108">
        <v>-5.0000000000000266E-2</v>
      </c>
      <c r="I59" s="109">
        <v>-1.9379844961240456E-2</v>
      </c>
      <c r="J59" s="94">
        <v>3540073</v>
      </c>
      <c r="K59" s="95">
        <v>9133567.1999999993</v>
      </c>
    </row>
    <row r="60" spans="2:11" ht="19">
      <c r="B60" s="96" t="s">
        <v>61</v>
      </c>
      <c r="C60" s="97">
        <v>1.4</v>
      </c>
      <c r="D60" s="97">
        <v>1.4</v>
      </c>
      <c r="E60" s="98">
        <v>1.45</v>
      </c>
      <c r="F60" s="98">
        <v>1.38</v>
      </c>
      <c r="G60" s="98">
        <v>1.4</v>
      </c>
      <c r="H60" s="104">
        <v>0</v>
      </c>
      <c r="I60" s="105">
        <v>0</v>
      </c>
      <c r="J60" s="101">
        <v>12926190</v>
      </c>
      <c r="K60" s="97">
        <v>18106897.109999999</v>
      </c>
    </row>
    <row r="61" spans="2:11" ht="19">
      <c r="B61" s="89" t="s">
        <v>42</v>
      </c>
      <c r="C61" s="90">
        <v>4.6500000000000004</v>
      </c>
      <c r="D61" s="90">
        <v>4.6500000000000004</v>
      </c>
      <c r="E61" s="90">
        <v>5.1100000000000003</v>
      </c>
      <c r="F61" s="90">
        <v>4.95</v>
      </c>
      <c r="G61" s="91">
        <v>5.0199999999999996</v>
      </c>
      <c r="H61" s="102">
        <v>0.36999999999999922</v>
      </c>
      <c r="I61" s="103">
        <v>7.9569892473118076E-2</v>
      </c>
      <c r="J61" s="94">
        <v>2812869</v>
      </c>
      <c r="K61" s="95">
        <v>14145748.51</v>
      </c>
    </row>
    <row r="62" spans="2:11" ht="19">
      <c r="B62" s="96" t="s">
        <v>68</v>
      </c>
      <c r="C62" s="97">
        <v>0.43</v>
      </c>
      <c r="D62" s="97">
        <v>0.43</v>
      </c>
      <c r="E62" s="98">
        <v>0.44</v>
      </c>
      <c r="F62" s="98">
        <v>0.41</v>
      </c>
      <c r="G62" s="98">
        <v>0.43</v>
      </c>
      <c r="H62" s="104">
        <v>0</v>
      </c>
      <c r="I62" s="105">
        <v>0</v>
      </c>
      <c r="J62" s="101">
        <v>3555992</v>
      </c>
      <c r="K62" s="97">
        <v>1517138.55</v>
      </c>
    </row>
    <row r="63" spans="2:11" ht="19">
      <c r="B63" s="89" t="s">
        <v>170</v>
      </c>
      <c r="C63" s="90">
        <v>0.5</v>
      </c>
      <c r="D63" s="90">
        <v>0.5</v>
      </c>
      <c r="E63" s="90">
        <v>0.5</v>
      </c>
      <c r="F63" s="90">
        <v>0.5</v>
      </c>
      <c r="G63" s="91">
        <v>0.5</v>
      </c>
      <c r="H63" s="92">
        <v>0</v>
      </c>
      <c r="I63" s="93">
        <v>0</v>
      </c>
      <c r="J63" s="94">
        <v>1000</v>
      </c>
      <c r="K63" s="95">
        <v>460</v>
      </c>
    </row>
    <row r="64" spans="2:11" ht="19">
      <c r="B64" s="96" t="s">
        <v>29</v>
      </c>
      <c r="C64" s="97">
        <v>228</v>
      </c>
      <c r="D64" s="97">
        <v>228</v>
      </c>
      <c r="E64" s="98">
        <v>228</v>
      </c>
      <c r="F64" s="98">
        <v>228</v>
      </c>
      <c r="G64" s="98">
        <v>228</v>
      </c>
      <c r="H64" s="104">
        <v>0</v>
      </c>
      <c r="I64" s="105">
        <v>0</v>
      </c>
      <c r="J64" s="101">
        <v>40377</v>
      </c>
      <c r="K64" s="97">
        <v>8704814.3000000007</v>
      </c>
    </row>
    <row r="65" spans="2:11" ht="19">
      <c r="B65" s="89" t="s">
        <v>105</v>
      </c>
      <c r="C65" s="90">
        <v>12.3</v>
      </c>
      <c r="D65" s="90">
        <v>12.3</v>
      </c>
      <c r="E65" s="90">
        <v>13.4</v>
      </c>
      <c r="F65" s="90">
        <v>13.2</v>
      </c>
      <c r="G65" s="91">
        <v>13.4</v>
      </c>
      <c r="H65" s="102">
        <v>1.0999999999999996</v>
      </c>
      <c r="I65" s="103">
        <v>8.9430894308943021E-2</v>
      </c>
      <c r="J65" s="94">
        <v>327123</v>
      </c>
      <c r="K65" s="95">
        <v>4369368.4000000004</v>
      </c>
    </row>
    <row r="66" spans="2:11" ht="19">
      <c r="B66" s="96" t="s">
        <v>54</v>
      </c>
      <c r="C66" s="97">
        <v>181</v>
      </c>
      <c r="D66" s="97">
        <v>181</v>
      </c>
      <c r="E66" s="97">
        <v>181</v>
      </c>
      <c r="F66" s="97">
        <v>181</v>
      </c>
      <c r="G66" s="98">
        <v>181</v>
      </c>
      <c r="H66" s="104">
        <v>0</v>
      </c>
      <c r="I66" s="105">
        <v>0</v>
      </c>
      <c r="J66" s="101">
        <v>1335248</v>
      </c>
      <c r="K66" s="97">
        <v>247529505.40000001</v>
      </c>
    </row>
    <row r="67" spans="2:11" ht="19">
      <c r="B67" s="89" t="s">
        <v>156</v>
      </c>
      <c r="C67" s="90">
        <v>0.22</v>
      </c>
      <c r="D67" s="90">
        <v>0.22</v>
      </c>
      <c r="E67" s="90">
        <v>0.21</v>
      </c>
      <c r="F67" s="90">
        <v>0.2</v>
      </c>
      <c r="G67" s="91">
        <v>0.21</v>
      </c>
      <c r="H67" s="108">
        <v>-1.0000000000000009E-2</v>
      </c>
      <c r="I67" s="109">
        <v>-4.5454545454545525E-2</v>
      </c>
      <c r="J67" s="94">
        <v>11103730</v>
      </c>
      <c r="K67" s="95">
        <v>2241566.5</v>
      </c>
    </row>
    <row r="68" spans="2:11" ht="19">
      <c r="B68" s="96" t="s">
        <v>40</v>
      </c>
      <c r="C68" s="97">
        <v>2.2599999999999998</v>
      </c>
      <c r="D68" s="97">
        <v>2.2599999999999998</v>
      </c>
      <c r="E68" s="97">
        <v>2.19</v>
      </c>
      <c r="F68" s="97">
        <v>2.1800000000000002</v>
      </c>
      <c r="G68" s="98">
        <v>2.1800000000000002</v>
      </c>
      <c r="H68" s="106">
        <v>-7.9999999999999627E-2</v>
      </c>
      <c r="I68" s="107">
        <v>-3.5398230088495408E-2</v>
      </c>
      <c r="J68" s="101">
        <v>1902529</v>
      </c>
      <c r="K68" s="97">
        <v>4171970.78</v>
      </c>
    </row>
    <row r="69" spans="2:11" ht="19">
      <c r="B69" s="89" t="s">
        <v>13</v>
      </c>
      <c r="C69" s="90">
        <v>16.2</v>
      </c>
      <c r="D69" s="90">
        <v>16.2</v>
      </c>
      <c r="E69" s="90">
        <v>16.2</v>
      </c>
      <c r="F69" s="90">
        <v>16.2</v>
      </c>
      <c r="G69" s="91">
        <v>16.2</v>
      </c>
      <c r="H69" s="92">
        <v>0</v>
      </c>
      <c r="I69" s="93">
        <v>0</v>
      </c>
      <c r="J69" s="94">
        <v>1045927</v>
      </c>
      <c r="K69" s="95">
        <v>18378357.199999999</v>
      </c>
    </row>
    <row r="70" spans="2:11" ht="19">
      <c r="B70" s="96" t="s">
        <v>14</v>
      </c>
      <c r="C70" s="97">
        <v>63</v>
      </c>
      <c r="D70" s="97">
        <v>63</v>
      </c>
      <c r="E70" s="98">
        <v>63</v>
      </c>
      <c r="F70" s="98">
        <v>63</v>
      </c>
      <c r="G70" s="98">
        <v>63</v>
      </c>
      <c r="H70" s="104">
        <v>0</v>
      </c>
      <c r="I70" s="105">
        <v>0</v>
      </c>
      <c r="J70" s="101">
        <v>973243</v>
      </c>
      <c r="K70" s="97">
        <v>59384259.100000001</v>
      </c>
    </row>
    <row r="71" spans="2:11" ht="19">
      <c r="B71" s="89" t="s">
        <v>158</v>
      </c>
      <c r="C71" s="90">
        <v>3.12</v>
      </c>
      <c r="D71" s="90">
        <v>3.12</v>
      </c>
      <c r="E71" s="90">
        <v>3.12</v>
      </c>
      <c r="F71" s="90">
        <v>3.12</v>
      </c>
      <c r="G71" s="91">
        <v>3.12</v>
      </c>
      <c r="H71" s="92">
        <v>0</v>
      </c>
      <c r="I71" s="93">
        <v>0</v>
      </c>
      <c r="J71" s="94">
        <v>18</v>
      </c>
      <c r="K71" s="95">
        <v>59.4</v>
      </c>
    </row>
    <row r="72" spans="2:11" ht="19">
      <c r="B72" s="96" t="s">
        <v>64</v>
      </c>
      <c r="C72" s="97">
        <v>2.15</v>
      </c>
      <c r="D72" s="97">
        <v>2.15</v>
      </c>
      <c r="E72" s="97">
        <v>2.1</v>
      </c>
      <c r="F72" s="97">
        <v>1.98</v>
      </c>
      <c r="G72" s="98">
        <v>2.1</v>
      </c>
      <c r="H72" s="106">
        <v>-4.9999999999999822E-2</v>
      </c>
      <c r="I72" s="107">
        <v>-2.3255813953488302E-2</v>
      </c>
      <c r="J72" s="101">
        <v>880141</v>
      </c>
      <c r="K72" s="97">
        <v>1786029.59</v>
      </c>
    </row>
    <row r="73" spans="2:11" ht="19">
      <c r="B73" s="89" t="s">
        <v>77</v>
      </c>
      <c r="C73" s="90">
        <v>2.42</v>
      </c>
      <c r="D73" s="90">
        <v>2.42</v>
      </c>
      <c r="E73" s="90">
        <v>2.58</v>
      </c>
      <c r="F73" s="90">
        <v>2.44</v>
      </c>
      <c r="G73" s="91">
        <v>2.58</v>
      </c>
      <c r="H73" s="102">
        <v>0.16000000000000014</v>
      </c>
      <c r="I73" s="103">
        <v>6.6115702479338845E-2</v>
      </c>
      <c r="J73" s="94">
        <v>398043</v>
      </c>
      <c r="K73" s="95">
        <v>1012753.53</v>
      </c>
    </row>
    <row r="74" spans="2:11" ht="19">
      <c r="B74" s="96" t="s">
        <v>15</v>
      </c>
      <c r="C74" s="97">
        <v>1505</v>
      </c>
      <c r="D74" s="97">
        <v>1505</v>
      </c>
      <c r="E74" s="98">
        <v>1450</v>
      </c>
      <c r="F74" s="98">
        <v>1450</v>
      </c>
      <c r="G74" s="98">
        <v>1450</v>
      </c>
      <c r="H74" s="106">
        <v>-55</v>
      </c>
      <c r="I74" s="107">
        <v>-3.6544850498338888E-2</v>
      </c>
      <c r="J74" s="101">
        <v>545751</v>
      </c>
      <c r="K74" s="97">
        <v>791579391.29999995</v>
      </c>
    </row>
    <row r="75" spans="2:11" ht="19">
      <c r="B75" s="89" t="s">
        <v>150</v>
      </c>
      <c r="C75" s="90">
        <v>0.23</v>
      </c>
      <c r="D75" s="90">
        <v>0.23</v>
      </c>
      <c r="E75" s="90">
        <v>0.25</v>
      </c>
      <c r="F75" s="90">
        <v>0.25</v>
      </c>
      <c r="G75" s="91">
        <v>0.25</v>
      </c>
      <c r="H75" s="102">
        <v>1.999999999999999E-2</v>
      </c>
      <c r="I75" s="103">
        <v>8.6956521739130377E-2</v>
      </c>
      <c r="J75" s="94">
        <v>3317760</v>
      </c>
      <c r="K75" s="95">
        <v>828512.4</v>
      </c>
    </row>
    <row r="76" spans="2:11" ht="19">
      <c r="B76" s="96" t="s">
        <v>129</v>
      </c>
      <c r="C76" s="97">
        <v>9.68</v>
      </c>
      <c r="D76" s="97">
        <v>9.68</v>
      </c>
      <c r="E76" s="98">
        <v>9.59</v>
      </c>
      <c r="F76" s="98">
        <v>8.7200000000000006</v>
      </c>
      <c r="G76" s="98">
        <v>9.59</v>
      </c>
      <c r="H76" s="106">
        <v>-8.9999999999999858E-2</v>
      </c>
      <c r="I76" s="107">
        <v>-9.2975206611569661E-3</v>
      </c>
      <c r="J76" s="101">
        <v>1366007</v>
      </c>
      <c r="K76" s="97">
        <v>12240270.18</v>
      </c>
    </row>
    <row r="77" spans="2:11" ht="19">
      <c r="B77" s="89" t="s">
        <v>171</v>
      </c>
      <c r="C77" s="90">
        <v>62.5</v>
      </c>
      <c r="D77" s="90">
        <v>62.5</v>
      </c>
      <c r="E77" s="90">
        <v>62.5</v>
      </c>
      <c r="F77" s="90">
        <v>62.5</v>
      </c>
      <c r="G77" s="91">
        <v>62.5</v>
      </c>
      <c r="H77" s="92">
        <v>0</v>
      </c>
      <c r="I77" s="93">
        <v>0</v>
      </c>
      <c r="J77" s="94">
        <v>200</v>
      </c>
      <c r="K77" s="95">
        <v>11900</v>
      </c>
    </row>
    <row r="78" spans="2:11" ht="19">
      <c r="B78" s="96" t="s">
        <v>78</v>
      </c>
      <c r="C78" s="97">
        <v>1.9</v>
      </c>
      <c r="D78" s="97">
        <v>1.9</v>
      </c>
      <c r="E78" s="97">
        <v>2</v>
      </c>
      <c r="F78" s="97">
        <v>2</v>
      </c>
      <c r="G78" s="98">
        <v>2</v>
      </c>
      <c r="H78" s="99">
        <v>0.10000000000000009</v>
      </c>
      <c r="I78" s="100">
        <v>5.2631578947368363E-2</v>
      </c>
      <c r="J78" s="101">
        <v>286900</v>
      </c>
      <c r="K78" s="97">
        <v>577227</v>
      </c>
    </row>
    <row r="79" spans="2:11" ht="19">
      <c r="B79" s="89" t="s">
        <v>172</v>
      </c>
      <c r="C79" s="90">
        <v>0.2</v>
      </c>
      <c r="D79" s="90">
        <v>0.2</v>
      </c>
      <c r="E79" s="90">
        <v>0.2</v>
      </c>
      <c r="F79" s="90">
        <v>0.2</v>
      </c>
      <c r="G79" s="91">
        <v>0.2</v>
      </c>
      <c r="H79" s="92">
        <v>0</v>
      </c>
      <c r="I79" s="93">
        <v>0</v>
      </c>
      <c r="J79" s="94">
        <v>300</v>
      </c>
      <c r="K79" s="95">
        <v>60</v>
      </c>
    </row>
    <row r="80" spans="2:11" ht="19">
      <c r="B80" s="96" t="s">
        <v>46</v>
      </c>
      <c r="C80" s="97">
        <v>3.28</v>
      </c>
      <c r="D80" s="97">
        <v>3.28</v>
      </c>
      <c r="E80" s="98">
        <v>3.25</v>
      </c>
      <c r="F80" s="98">
        <v>3.15</v>
      </c>
      <c r="G80" s="98">
        <v>3.15</v>
      </c>
      <c r="H80" s="106">
        <v>-0.12999999999999989</v>
      </c>
      <c r="I80" s="107">
        <v>-3.9634146341463339E-2</v>
      </c>
      <c r="J80" s="101">
        <v>3432046</v>
      </c>
      <c r="K80" s="97">
        <v>11054001.01</v>
      </c>
    </row>
    <row r="81" spans="2:11" ht="19">
      <c r="B81" s="89" t="s">
        <v>16</v>
      </c>
      <c r="C81" s="90">
        <v>93</v>
      </c>
      <c r="D81" s="90">
        <v>93</v>
      </c>
      <c r="E81" s="90">
        <v>93</v>
      </c>
      <c r="F81" s="90">
        <v>93</v>
      </c>
      <c r="G81" s="91">
        <v>93</v>
      </c>
      <c r="H81" s="92">
        <v>0</v>
      </c>
      <c r="I81" s="93">
        <v>0</v>
      </c>
      <c r="J81" s="94">
        <v>149964</v>
      </c>
      <c r="K81" s="95">
        <v>13839145.6</v>
      </c>
    </row>
    <row r="82" spans="2:11" ht="19">
      <c r="B82" s="96" t="s">
        <v>173</v>
      </c>
      <c r="C82" s="97">
        <v>0.2</v>
      </c>
      <c r="D82" s="97">
        <v>0.2</v>
      </c>
      <c r="E82" s="97">
        <v>0.2</v>
      </c>
      <c r="F82" s="97">
        <v>0.2</v>
      </c>
      <c r="G82" s="98">
        <v>0.2</v>
      </c>
      <c r="H82" s="104">
        <v>0</v>
      </c>
      <c r="I82" s="105">
        <v>0</v>
      </c>
      <c r="J82" s="101">
        <v>1000</v>
      </c>
      <c r="K82" s="97">
        <v>200</v>
      </c>
    </row>
    <row r="83" spans="2:11" ht="19">
      <c r="B83" s="89" t="s">
        <v>147</v>
      </c>
      <c r="C83" s="90">
        <v>3.5</v>
      </c>
      <c r="D83" s="90">
        <v>3.5</v>
      </c>
      <c r="E83" s="90">
        <v>3.5</v>
      </c>
      <c r="F83" s="90">
        <v>3.5</v>
      </c>
      <c r="G83" s="91">
        <v>3.5</v>
      </c>
      <c r="H83" s="92">
        <v>0</v>
      </c>
      <c r="I83" s="93">
        <v>0</v>
      </c>
      <c r="J83" s="94">
        <v>282673</v>
      </c>
      <c r="K83" s="95">
        <v>903619.95</v>
      </c>
    </row>
    <row r="84" spans="2:11" ht="19">
      <c r="B84" s="96" t="s">
        <v>63</v>
      </c>
      <c r="C84" s="97">
        <v>74.5</v>
      </c>
      <c r="D84" s="97">
        <v>74.5</v>
      </c>
      <c r="E84" s="98">
        <v>74.5</v>
      </c>
      <c r="F84" s="98">
        <v>74.5</v>
      </c>
      <c r="G84" s="98">
        <v>74.5</v>
      </c>
      <c r="H84" s="104">
        <v>0</v>
      </c>
      <c r="I84" s="105">
        <v>0</v>
      </c>
      <c r="J84" s="101">
        <v>222224</v>
      </c>
      <c r="K84" s="97">
        <v>16428275.449999999</v>
      </c>
    </row>
    <row r="85" spans="2:11" ht="19">
      <c r="B85" s="89" t="s">
        <v>136</v>
      </c>
      <c r="C85" s="90">
        <v>0.5</v>
      </c>
      <c r="D85" s="90">
        <v>0.5</v>
      </c>
      <c r="E85" s="90">
        <v>0.48</v>
      </c>
      <c r="F85" s="90">
        <v>0.45</v>
      </c>
      <c r="G85" s="91">
        <v>0.48</v>
      </c>
      <c r="H85" s="108">
        <v>-2.0000000000000018E-2</v>
      </c>
      <c r="I85" s="109">
        <v>-4.0000000000000036E-2</v>
      </c>
      <c r="J85" s="94">
        <v>2492193</v>
      </c>
      <c r="K85" s="95">
        <v>1176955.3500000001</v>
      </c>
    </row>
    <row r="86" spans="2:11" ht="19">
      <c r="B86" s="96" t="s">
        <v>17</v>
      </c>
      <c r="C86" s="97">
        <v>5.65</v>
      </c>
      <c r="D86" s="97">
        <v>5.65</v>
      </c>
      <c r="E86" s="98">
        <v>5.85</v>
      </c>
      <c r="F86" s="98">
        <v>5.8</v>
      </c>
      <c r="G86" s="98">
        <v>5.85</v>
      </c>
      <c r="H86" s="99">
        <v>0.19999999999999929</v>
      </c>
      <c r="I86" s="100">
        <v>3.5398230088495408E-2</v>
      </c>
      <c r="J86" s="101">
        <v>2927940</v>
      </c>
      <c r="K86" s="97">
        <v>16833474.25</v>
      </c>
    </row>
    <row r="87" spans="2:11" ht="19">
      <c r="B87" s="89" t="s">
        <v>67</v>
      </c>
      <c r="C87" s="90">
        <v>3.4</v>
      </c>
      <c r="D87" s="90">
        <v>3.4</v>
      </c>
      <c r="E87" s="90">
        <v>3.4</v>
      </c>
      <c r="F87" s="90">
        <v>3.4</v>
      </c>
      <c r="G87" s="91">
        <v>3.4</v>
      </c>
      <c r="H87" s="92">
        <v>0</v>
      </c>
      <c r="I87" s="93">
        <v>0</v>
      </c>
      <c r="J87" s="94">
        <v>224834</v>
      </c>
      <c r="K87" s="95">
        <v>769757.5</v>
      </c>
    </row>
    <row r="88" spans="2:11" ht="19">
      <c r="B88" s="96" t="s">
        <v>141</v>
      </c>
      <c r="C88" s="97">
        <v>0.34</v>
      </c>
      <c r="D88" s="97">
        <v>0.34</v>
      </c>
      <c r="E88" s="98">
        <v>0.37</v>
      </c>
      <c r="F88" s="98">
        <v>0.34</v>
      </c>
      <c r="G88" s="98">
        <v>0.35</v>
      </c>
      <c r="H88" s="99">
        <v>9.9999999999999534E-3</v>
      </c>
      <c r="I88" s="100">
        <v>2.9411764705882248E-2</v>
      </c>
      <c r="J88" s="101">
        <v>1813912</v>
      </c>
      <c r="K88" s="97">
        <v>642020.64</v>
      </c>
    </row>
    <row r="89" spans="2:11" ht="19">
      <c r="B89" s="89" t="s">
        <v>134</v>
      </c>
      <c r="C89" s="90">
        <v>0.4</v>
      </c>
      <c r="D89" s="90">
        <v>0.4</v>
      </c>
      <c r="E89" s="90">
        <v>0.36</v>
      </c>
      <c r="F89" s="90">
        <v>0.36</v>
      </c>
      <c r="G89" s="91">
        <v>0.36</v>
      </c>
      <c r="H89" s="108">
        <v>-4.0000000000000036E-2</v>
      </c>
      <c r="I89" s="109">
        <v>-0.10000000000000009</v>
      </c>
      <c r="J89" s="94">
        <v>3761966</v>
      </c>
      <c r="K89" s="95">
        <v>1356364.5</v>
      </c>
    </row>
    <row r="90" spans="2:11" ht="19">
      <c r="B90" s="96" t="s">
        <v>152</v>
      </c>
      <c r="C90" s="97">
        <v>0.21</v>
      </c>
      <c r="D90" s="97">
        <v>0.21</v>
      </c>
      <c r="E90" s="97">
        <v>0.21</v>
      </c>
      <c r="F90" s="97">
        <v>0.2</v>
      </c>
      <c r="G90" s="98">
        <v>0.21</v>
      </c>
      <c r="H90" s="104">
        <v>0</v>
      </c>
      <c r="I90" s="105">
        <v>0</v>
      </c>
      <c r="J90" s="101">
        <v>434335</v>
      </c>
      <c r="K90" s="97">
        <v>90357.66</v>
      </c>
    </row>
    <row r="91" spans="2:11" ht="19">
      <c r="B91" s="89" t="s">
        <v>53</v>
      </c>
      <c r="C91" s="90">
        <v>490</v>
      </c>
      <c r="D91" s="90">
        <v>490</v>
      </c>
      <c r="E91" s="90">
        <v>495</v>
      </c>
      <c r="F91" s="90">
        <v>495</v>
      </c>
      <c r="G91" s="91">
        <v>495</v>
      </c>
      <c r="H91" s="102">
        <v>5</v>
      </c>
      <c r="I91" s="103">
        <v>1.0204081632652962E-2</v>
      </c>
      <c r="J91" s="94">
        <v>252072</v>
      </c>
      <c r="K91" s="95">
        <v>126056539</v>
      </c>
    </row>
    <row r="92" spans="2:11" ht="19">
      <c r="B92" s="96" t="s">
        <v>161</v>
      </c>
      <c r="C92" s="97">
        <v>2.88</v>
      </c>
      <c r="D92" s="97">
        <v>2.88</v>
      </c>
      <c r="E92" s="98">
        <v>2.88</v>
      </c>
      <c r="F92" s="98">
        <v>2.88</v>
      </c>
      <c r="G92" s="98">
        <v>2.88</v>
      </c>
      <c r="H92" s="104">
        <v>0</v>
      </c>
      <c r="I92" s="105">
        <v>0</v>
      </c>
      <c r="J92" s="101">
        <v>155</v>
      </c>
      <c r="K92" s="97">
        <v>446.4</v>
      </c>
    </row>
    <row r="93" spans="2:11" ht="19">
      <c r="B93" s="89" t="s">
        <v>143</v>
      </c>
      <c r="C93" s="90">
        <v>0.26</v>
      </c>
      <c r="D93" s="90">
        <v>0.26</v>
      </c>
      <c r="E93" s="90">
        <v>0.25</v>
      </c>
      <c r="F93" s="90">
        <v>0.24</v>
      </c>
      <c r="G93" s="91">
        <v>0.25</v>
      </c>
      <c r="H93" s="108">
        <v>-1.0000000000000009E-2</v>
      </c>
      <c r="I93" s="109">
        <v>-3.8461538461538547E-2</v>
      </c>
      <c r="J93" s="94">
        <v>4597546</v>
      </c>
      <c r="K93" s="95">
        <v>1139427.02</v>
      </c>
    </row>
    <row r="94" spans="2:11" ht="19">
      <c r="B94" s="96" t="s">
        <v>18</v>
      </c>
      <c r="C94" s="97">
        <v>45</v>
      </c>
      <c r="D94" s="97">
        <v>45</v>
      </c>
      <c r="E94" s="98">
        <v>45</v>
      </c>
      <c r="F94" s="98">
        <v>45</v>
      </c>
      <c r="G94" s="98">
        <v>45</v>
      </c>
      <c r="H94" s="104">
        <v>0</v>
      </c>
      <c r="I94" s="105">
        <v>0</v>
      </c>
      <c r="J94" s="101">
        <v>188822</v>
      </c>
      <c r="K94" s="97">
        <v>8453646.8499999996</v>
      </c>
    </row>
    <row r="95" spans="2:11" ht="19">
      <c r="B95" s="89" t="s">
        <v>19</v>
      </c>
      <c r="C95" s="90">
        <v>2</v>
      </c>
      <c r="D95" s="90">
        <v>1.94</v>
      </c>
      <c r="E95" s="90">
        <v>1.99</v>
      </c>
      <c r="F95" s="90">
        <v>1.94</v>
      </c>
      <c r="G95" s="91">
        <v>1.96</v>
      </c>
      <c r="H95" s="108">
        <v>-4.0000000000000036E-2</v>
      </c>
      <c r="I95" s="109">
        <v>-2.0000000000000018E-2</v>
      </c>
      <c r="J95" s="94">
        <v>4769743</v>
      </c>
      <c r="K95" s="95">
        <v>9385790.0099999998</v>
      </c>
    </row>
    <row r="96" spans="2:11" ht="19">
      <c r="B96" s="96" t="s">
        <v>20</v>
      </c>
      <c r="C96" s="97">
        <v>143</v>
      </c>
      <c r="D96" s="97">
        <v>143</v>
      </c>
      <c r="E96" s="98">
        <v>143</v>
      </c>
      <c r="F96" s="98">
        <v>143</v>
      </c>
      <c r="G96" s="98">
        <v>143</v>
      </c>
      <c r="H96" s="104">
        <v>0</v>
      </c>
      <c r="I96" s="105">
        <v>0</v>
      </c>
      <c r="J96" s="101">
        <v>19768</v>
      </c>
      <c r="K96" s="97">
        <v>2731840.5</v>
      </c>
    </row>
    <row r="97" spans="2:11" ht="19">
      <c r="B97" s="89" t="s">
        <v>162</v>
      </c>
      <c r="C97" s="90">
        <v>3.6</v>
      </c>
      <c r="D97" s="90">
        <v>3.6</v>
      </c>
      <c r="E97" s="90">
        <v>3.6</v>
      </c>
      <c r="F97" s="90">
        <v>3.6</v>
      </c>
      <c r="G97" s="91">
        <v>3.6</v>
      </c>
      <c r="H97" s="92">
        <v>0</v>
      </c>
      <c r="I97" s="93">
        <v>0</v>
      </c>
      <c r="J97" s="94">
        <v>15491</v>
      </c>
      <c r="K97" s="95">
        <v>57579.45</v>
      </c>
    </row>
    <row r="98" spans="2:11" ht="19">
      <c r="B98" s="96" t="s">
        <v>21</v>
      </c>
      <c r="C98" s="97">
        <v>1.02</v>
      </c>
      <c r="D98" s="97">
        <v>1.05</v>
      </c>
      <c r="E98" s="98">
        <v>1.08</v>
      </c>
      <c r="F98" s="98">
        <v>1.03</v>
      </c>
      <c r="G98" s="98">
        <v>1.05</v>
      </c>
      <c r="H98" s="99">
        <v>3.0000000000000027E-2</v>
      </c>
      <c r="I98" s="100">
        <v>2.941176470588247E-2</v>
      </c>
      <c r="J98" s="101">
        <v>61758076</v>
      </c>
      <c r="K98" s="97">
        <v>64675827.670000002</v>
      </c>
    </row>
    <row r="99" spans="2:11" ht="19">
      <c r="B99" s="89" t="s">
        <v>163</v>
      </c>
      <c r="C99" s="90">
        <v>0.99</v>
      </c>
      <c r="D99" s="90">
        <v>0.99</v>
      </c>
      <c r="E99" s="90">
        <v>0.99</v>
      </c>
      <c r="F99" s="90">
        <v>0.99</v>
      </c>
      <c r="G99" s="91">
        <v>0.99</v>
      </c>
      <c r="H99" s="92">
        <v>0</v>
      </c>
      <c r="I99" s="93">
        <v>0</v>
      </c>
      <c r="J99" s="94">
        <v>800</v>
      </c>
      <c r="K99" s="95">
        <v>800</v>
      </c>
    </row>
    <row r="100" spans="2:11" ht="19">
      <c r="B100" s="96" t="s">
        <v>76</v>
      </c>
      <c r="C100" s="97">
        <v>0.84</v>
      </c>
      <c r="D100" s="97">
        <v>0.84</v>
      </c>
      <c r="E100" s="97">
        <v>0.86</v>
      </c>
      <c r="F100" s="97">
        <v>0.8</v>
      </c>
      <c r="G100" s="98">
        <v>0.85</v>
      </c>
      <c r="H100" s="99">
        <v>1.0000000000000009E-2</v>
      </c>
      <c r="I100" s="100">
        <v>1.1904761904761862E-2</v>
      </c>
      <c r="J100" s="101">
        <v>13267710</v>
      </c>
      <c r="K100" s="97">
        <v>11242160.82</v>
      </c>
    </row>
    <row r="101" spans="2:11" ht="19">
      <c r="B101" s="89" t="s">
        <v>22</v>
      </c>
      <c r="C101" s="90">
        <v>8.35</v>
      </c>
      <c r="D101" s="90">
        <v>8.35</v>
      </c>
      <c r="E101" s="90">
        <v>9.15</v>
      </c>
      <c r="F101" s="90">
        <v>8.6999999999999993</v>
      </c>
      <c r="G101" s="91">
        <v>8.9499999999999993</v>
      </c>
      <c r="H101" s="102">
        <v>0.59999999999999964</v>
      </c>
      <c r="I101" s="103">
        <v>7.1856287425149601E-2</v>
      </c>
      <c r="J101" s="94">
        <v>15650421</v>
      </c>
      <c r="K101" s="95">
        <v>141358818.65000001</v>
      </c>
    </row>
    <row r="102" spans="2:11" ht="19">
      <c r="B102" s="96" t="s">
        <v>23</v>
      </c>
      <c r="C102" s="97">
        <v>9.0500000000000007</v>
      </c>
      <c r="D102" s="97">
        <v>9.0500000000000007</v>
      </c>
      <c r="E102" s="98">
        <v>9.1999999999999993</v>
      </c>
      <c r="F102" s="98">
        <v>9.0500000000000007</v>
      </c>
      <c r="G102" s="98">
        <v>9.1</v>
      </c>
      <c r="H102" s="99">
        <v>4.9999999999998934E-2</v>
      </c>
      <c r="I102" s="100">
        <v>5.5248618784529135E-3</v>
      </c>
      <c r="J102" s="101">
        <v>44311484</v>
      </c>
      <c r="K102" s="97">
        <v>406715929.19999999</v>
      </c>
    </row>
    <row r="103" spans="2:11" ht="19">
      <c r="B103" s="89" t="s">
        <v>24</v>
      </c>
      <c r="C103" s="90">
        <v>6.1</v>
      </c>
      <c r="D103" s="90">
        <v>6.1</v>
      </c>
      <c r="E103" s="90">
        <v>6.05</v>
      </c>
      <c r="F103" s="90">
        <v>5.9</v>
      </c>
      <c r="G103" s="91">
        <v>6.05</v>
      </c>
      <c r="H103" s="108">
        <v>-4.9999999999999822E-2</v>
      </c>
      <c r="I103" s="109">
        <v>-8.1967213114754189E-3</v>
      </c>
      <c r="J103" s="94">
        <v>79585960</v>
      </c>
      <c r="K103" s="95">
        <v>469640553.60000002</v>
      </c>
    </row>
    <row r="104" spans="2:11" ht="19">
      <c r="B104" s="96" t="s">
        <v>28</v>
      </c>
      <c r="C104" s="97">
        <v>5.9</v>
      </c>
      <c r="D104" s="97">
        <v>5.9</v>
      </c>
      <c r="E104" s="98">
        <v>6.1</v>
      </c>
      <c r="F104" s="98">
        <v>5.87</v>
      </c>
      <c r="G104" s="98">
        <v>5.87</v>
      </c>
      <c r="H104" s="106">
        <v>-3.0000000000000249E-2</v>
      </c>
      <c r="I104" s="107">
        <v>-5.0847457627118953E-3</v>
      </c>
      <c r="J104" s="101">
        <v>4345024</v>
      </c>
      <c r="K104" s="97">
        <v>25638953.75</v>
      </c>
    </row>
    <row r="105" spans="2:11" ht="19">
      <c r="B105" s="89" t="s">
        <v>25</v>
      </c>
      <c r="C105" s="90">
        <v>13.5</v>
      </c>
      <c r="D105" s="90">
        <v>13.5</v>
      </c>
      <c r="E105" s="90">
        <v>13.5</v>
      </c>
      <c r="F105" s="90">
        <v>13.5</v>
      </c>
      <c r="G105" s="91">
        <v>13.5</v>
      </c>
      <c r="H105" s="92">
        <v>0</v>
      </c>
      <c r="I105" s="93">
        <v>0</v>
      </c>
      <c r="J105" s="94">
        <v>666420</v>
      </c>
      <c r="K105" s="95">
        <v>9321863.5999999996</v>
      </c>
    </row>
    <row r="106" spans="2:11" ht="19">
      <c r="B106" s="96" t="s">
        <v>142</v>
      </c>
      <c r="C106" s="97">
        <v>0.32</v>
      </c>
      <c r="D106" s="97">
        <v>0.32</v>
      </c>
      <c r="E106" s="98">
        <v>0.32</v>
      </c>
      <c r="F106" s="98">
        <v>0.32</v>
      </c>
      <c r="G106" s="98">
        <v>0.32</v>
      </c>
      <c r="H106" s="104">
        <v>0</v>
      </c>
      <c r="I106" s="105">
        <v>0</v>
      </c>
      <c r="J106" s="101">
        <v>52132</v>
      </c>
      <c r="K106" s="97">
        <v>15639.6</v>
      </c>
    </row>
    <row r="107" spans="2:11" ht="19">
      <c r="B107" s="89" t="s">
        <v>57</v>
      </c>
      <c r="C107" s="90">
        <v>0.67</v>
      </c>
      <c r="D107" s="90">
        <v>0.67</v>
      </c>
      <c r="E107" s="90">
        <v>0.73</v>
      </c>
      <c r="F107" s="90">
        <v>0.73</v>
      </c>
      <c r="G107" s="91">
        <v>0.73</v>
      </c>
      <c r="H107" s="102">
        <v>5.9999999999999942E-2</v>
      </c>
      <c r="I107" s="103">
        <v>8.9552238805969964E-2</v>
      </c>
      <c r="J107" s="94">
        <v>581020</v>
      </c>
      <c r="K107" s="95">
        <v>421993.58</v>
      </c>
    </row>
    <row r="108" spans="2:11" ht="19">
      <c r="B108" s="96" t="s">
        <v>154</v>
      </c>
      <c r="C108" s="97">
        <v>0.2</v>
      </c>
      <c r="D108" s="97">
        <v>0.2</v>
      </c>
      <c r="E108" s="98">
        <v>0.21</v>
      </c>
      <c r="F108" s="98">
        <v>0.2</v>
      </c>
      <c r="G108" s="98">
        <v>0.21</v>
      </c>
      <c r="H108" s="99">
        <v>9.9999999999999811E-3</v>
      </c>
      <c r="I108" s="100">
        <v>4.9999999999999822E-2</v>
      </c>
      <c r="J108" s="101">
        <v>6534150</v>
      </c>
      <c r="K108" s="97">
        <v>1312657</v>
      </c>
    </row>
    <row r="109" spans="2:11" ht="19">
      <c r="B109" s="89" t="s">
        <v>159</v>
      </c>
      <c r="C109" s="90">
        <v>1.3</v>
      </c>
      <c r="D109" s="90">
        <v>1.3</v>
      </c>
      <c r="E109" s="90">
        <v>1.3</v>
      </c>
      <c r="F109" s="90">
        <v>1.3</v>
      </c>
      <c r="G109" s="91">
        <v>1.3</v>
      </c>
      <c r="H109" s="92">
        <v>0</v>
      </c>
      <c r="I109" s="93">
        <v>0</v>
      </c>
      <c r="J109" s="94">
        <v>121541</v>
      </c>
      <c r="K109" s="95">
        <v>172750.61</v>
      </c>
    </row>
    <row r="110" spans="2:11" ht="19">
      <c r="B110" s="96" t="s">
        <v>151</v>
      </c>
      <c r="C110" s="97">
        <v>0.2</v>
      </c>
      <c r="D110" s="97">
        <v>0.22</v>
      </c>
      <c r="E110" s="98">
        <v>0.22</v>
      </c>
      <c r="F110" s="98">
        <v>0.21</v>
      </c>
      <c r="G110" s="98">
        <v>0.21</v>
      </c>
      <c r="H110" s="99">
        <v>9.9999999999999811E-3</v>
      </c>
      <c r="I110" s="100">
        <v>4.9999999999999822E-2</v>
      </c>
      <c r="J110" s="101">
        <v>8380363</v>
      </c>
      <c r="K110" s="97">
        <v>1842599.86</v>
      </c>
    </row>
    <row r="111" spans="2:11" ht="19">
      <c r="B111" s="89" t="s">
        <v>49</v>
      </c>
      <c r="C111" s="90">
        <v>10.050000000000001</v>
      </c>
      <c r="D111" s="90">
        <v>10</v>
      </c>
      <c r="E111" s="90">
        <v>10</v>
      </c>
      <c r="F111" s="90">
        <v>9.6999999999999993</v>
      </c>
      <c r="G111" s="91">
        <v>9.6999999999999993</v>
      </c>
      <c r="H111" s="108">
        <v>-0.35000000000000142</v>
      </c>
      <c r="I111" s="109">
        <v>-3.4825870646766344E-2</v>
      </c>
      <c r="J111" s="94">
        <v>3166755</v>
      </c>
      <c r="K111" s="95">
        <v>31300036.649999999</v>
      </c>
    </row>
    <row r="112" spans="2:11" ht="19">
      <c r="B112" s="96" t="s">
        <v>26</v>
      </c>
      <c r="C112" s="97">
        <v>30</v>
      </c>
      <c r="D112" s="97">
        <v>30</v>
      </c>
      <c r="E112" s="98">
        <v>30.5</v>
      </c>
      <c r="F112" s="98">
        <v>30</v>
      </c>
      <c r="G112" s="98">
        <v>30</v>
      </c>
      <c r="H112" s="104">
        <v>0</v>
      </c>
      <c r="I112" s="105">
        <v>0</v>
      </c>
      <c r="J112" s="101">
        <v>11184549</v>
      </c>
      <c r="K112" s="97">
        <v>337950702.10000002</v>
      </c>
    </row>
    <row r="113" spans="2:11" ht="19">
      <c r="B113" s="89" t="s">
        <v>45</v>
      </c>
      <c r="C113" s="90">
        <v>0.54</v>
      </c>
      <c r="D113" s="90">
        <v>0.54</v>
      </c>
      <c r="E113" s="90">
        <v>0.59</v>
      </c>
      <c r="F113" s="90">
        <v>0.53</v>
      </c>
      <c r="G113" s="91">
        <v>0.59</v>
      </c>
      <c r="H113" s="102">
        <v>4.9999999999999933E-2</v>
      </c>
      <c r="I113" s="103">
        <v>9.259259259259256E-2</v>
      </c>
      <c r="J113" s="94">
        <v>6685437</v>
      </c>
      <c r="K113" s="95">
        <v>3827960.33</v>
      </c>
    </row>
    <row r="114" spans="2:11" ht="19">
      <c r="B114" s="96" t="s">
        <v>47</v>
      </c>
      <c r="C114" s="97">
        <v>0.71</v>
      </c>
      <c r="D114" s="97">
        <v>0.71</v>
      </c>
      <c r="E114" s="98">
        <v>0.71</v>
      </c>
      <c r="F114" s="98">
        <v>0.69</v>
      </c>
      <c r="G114" s="98">
        <v>0.69</v>
      </c>
      <c r="H114" s="106">
        <v>-2.0000000000000018E-2</v>
      </c>
      <c r="I114" s="107">
        <v>-2.8169014084507116E-2</v>
      </c>
      <c r="J114" s="101">
        <v>1965264</v>
      </c>
      <c r="K114" s="97">
        <v>1382118.6</v>
      </c>
    </row>
    <row r="115" spans="2:11" ht="19">
      <c r="B115" s="89" t="s">
        <v>27</v>
      </c>
      <c r="C115" s="90">
        <v>27.2</v>
      </c>
      <c r="D115" s="90">
        <v>27.2</v>
      </c>
      <c r="E115" s="90">
        <v>27.35</v>
      </c>
      <c r="F115" s="90">
        <v>27.1</v>
      </c>
      <c r="G115" s="91">
        <v>27.15</v>
      </c>
      <c r="H115" s="108">
        <v>-5.0000000000000711E-2</v>
      </c>
      <c r="I115" s="109">
        <v>-1.8382352941176405E-3</v>
      </c>
      <c r="J115" s="94">
        <v>31523081</v>
      </c>
      <c r="K115" s="95">
        <v>858973932.5</v>
      </c>
    </row>
  </sheetData>
  <sheetProtection algorithmName="SHA-512" hashValue="O4/UZJyre9vYdnsPAXeqHwf/NRKV47hZqnX8ybjwduoMNfvULpn+/VJUDbsupppINKQ40wfuGHkCavqM8BaiBw==" saltValue="GgzREvIs3gnccyUd5WrBMw==" spinCount="100000" sheet="1" objects="1" scenarios="1"/>
  <sortState xmlns:xlrd2="http://schemas.microsoft.com/office/spreadsheetml/2017/richdata2" ref="B6:K80">
    <sortCondition ref="B6"/>
  </sortState>
  <pageMargins left="0.7" right="0.7" top="0.75" bottom="0.75" header="0.3" footer="0.3"/>
  <pageSetup scale="34" orientation="portrait" r:id="rId1"/>
  <headerFooter>
    <oddFooter>&amp;L&amp;1#&amp;"Calibri"&amp;10 Internal</oddFooter>
  </headerFooter>
  <drawing r:id="rId2"/>
  <extLst>
    <ext xmlns:x14="http://schemas.microsoft.com/office/spreadsheetml/2009/9/main" uri="{78C0D931-6437-407d-A8EE-F0AAD7539E65}">
      <x14:conditionalFormattings>
        <x14:conditionalFormatting xmlns:xm="http://schemas.microsoft.com/office/excel/2006/main">
          <x14:cfRule type="iconSet" priority="1521" id="{597F744F-BB71-4C16-839C-E7845AB4EF42}">
            <x14:iconSet iconSet="3Arrows" custom="1">
              <x14:cfvo type="percent">
                <xm:f>0</xm:f>
              </x14:cfvo>
              <x14:cfvo type="num">
                <xm:f>0</xm:f>
              </x14:cfvo>
              <x14:cfvo type="num" gte="0">
                <xm:f>0</xm:f>
              </x14:cfvo>
              <x14:cfIcon iconSet="3Arrows" iconId="0"/>
              <x14:cfIcon iconSet="3TrafficLights1" iconId="1"/>
              <x14:cfIcon iconSet="3Arrows" iconId="2"/>
            </x14:iconSet>
          </x14:cfRule>
          <xm:sqref>I12</xm:sqref>
        </x14:conditionalFormatting>
        <x14:conditionalFormatting xmlns:xm="http://schemas.microsoft.com/office/excel/2006/main">
          <x14:cfRule type="iconSet" priority="1520" id="{E40C6B39-CAD0-4CD4-A8BD-1BEDE21B0E5A}">
            <x14:iconSet iconSet="3Arrows" custom="1">
              <x14:cfvo type="percent">
                <xm:f>0</xm:f>
              </x14:cfvo>
              <x14:cfvo type="num">
                <xm:f>0</xm:f>
              </x14:cfvo>
              <x14:cfvo type="num" gte="0">
                <xm:f>0</xm:f>
              </x14:cfvo>
              <x14:cfIcon iconSet="3Arrows" iconId="0"/>
              <x14:cfIcon iconSet="3TrafficLights1" iconId="1"/>
              <x14:cfIcon iconSet="3Arrows" iconId="2"/>
            </x14:iconSet>
          </x14:cfRule>
          <xm:sqref>I11</xm:sqref>
        </x14:conditionalFormatting>
        <x14:conditionalFormatting xmlns:xm="http://schemas.microsoft.com/office/excel/2006/main">
          <x14:cfRule type="iconSet" priority="1519" id="{196280B7-1F7B-4A32-A3B1-F065FBE49DE5}">
            <x14:iconSet iconSet="3Arrows" custom="1">
              <x14:cfvo type="percent">
                <xm:f>0</xm:f>
              </x14:cfvo>
              <x14:cfvo type="num">
                <xm:f>0</xm:f>
              </x14:cfvo>
              <x14:cfvo type="num" gte="0">
                <xm:f>0</xm:f>
              </x14:cfvo>
              <x14:cfIcon iconSet="3Arrows" iconId="0"/>
              <x14:cfIcon iconSet="3TrafficLights1" iconId="1"/>
              <x14:cfIcon iconSet="3Arrows" iconId="2"/>
            </x14:iconSet>
          </x14:cfRule>
          <xm:sqref>I10</xm:sqref>
        </x14:conditionalFormatting>
        <x14:conditionalFormatting xmlns:xm="http://schemas.microsoft.com/office/excel/2006/main">
          <x14:cfRule type="iconSet" priority="1518" id="{E2DFC13D-6806-47EB-B525-2E42A801DFF3}">
            <x14:iconSet iconSet="3Arrows" custom="1">
              <x14:cfvo type="percent">
                <xm:f>0</xm:f>
              </x14:cfvo>
              <x14:cfvo type="num">
                <xm:f>0</xm:f>
              </x14:cfvo>
              <x14:cfvo type="num" gte="0">
                <xm:f>0</xm:f>
              </x14:cfvo>
              <x14:cfIcon iconSet="3Arrows" iconId="0"/>
              <x14:cfIcon iconSet="3TrafficLights1" iconId="1"/>
              <x14:cfIcon iconSet="3Arrows" iconId="2"/>
            </x14:iconSet>
          </x14:cfRule>
          <xm:sqref>I10</xm:sqref>
        </x14:conditionalFormatting>
        <x14:conditionalFormatting xmlns:xm="http://schemas.microsoft.com/office/excel/2006/main">
          <x14:cfRule type="iconSet" priority="1517" id="{82E01DDC-F03F-4C25-A82D-F5F9AD8F1F6E}">
            <x14:iconSet iconSet="3Arrows" custom="1">
              <x14:cfvo type="percent">
                <xm:f>0</xm:f>
              </x14:cfvo>
              <x14:cfvo type="num">
                <xm:f>0</xm:f>
              </x14:cfvo>
              <x14:cfvo type="num" gte="0">
                <xm:f>0</xm:f>
              </x14:cfvo>
              <x14:cfIcon iconSet="3Arrows" iconId="0"/>
              <x14:cfIcon iconSet="3TrafficLights1" iconId="1"/>
              <x14:cfIcon iconSet="3Arrows" iconId="2"/>
            </x14:iconSet>
          </x14:cfRule>
          <xm:sqref>I13</xm:sqref>
        </x14:conditionalFormatting>
        <x14:conditionalFormatting xmlns:xm="http://schemas.microsoft.com/office/excel/2006/main">
          <x14:cfRule type="iconSet" priority="1514" id="{EB28B53D-A4AE-4DE2-8B31-44C01BD4D7BA}">
            <x14:iconSet iconSet="3Arrows" custom="1">
              <x14:cfvo type="percent">
                <xm:f>0</xm:f>
              </x14:cfvo>
              <x14:cfvo type="num">
                <xm:f>0</xm:f>
              </x14:cfvo>
              <x14:cfvo type="num" gte="0">
                <xm:f>0</xm:f>
              </x14:cfvo>
              <x14:cfIcon iconSet="3Arrows" iconId="0"/>
              <x14:cfIcon iconSet="3TrafficLights1" iconId="1"/>
              <x14:cfIcon iconSet="3Arrows" iconId="2"/>
            </x14:iconSet>
          </x14:cfRule>
          <xm:sqref>I8</xm:sqref>
        </x14:conditionalFormatting>
        <x14:conditionalFormatting xmlns:xm="http://schemas.microsoft.com/office/excel/2006/main">
          <x14:cfRule type="iconSet" priority="1513" id="{D7CAF16E-FEB6-4168-B40E-A0CF176DAEF2}">
            <x14:iconSet iconSet="3Arrows" custom="1">
              <x14:cfvo type="percent">
                <xm:f>0</xm:f>
              </x14:cfvo>
              <x14:cfvo type="num">
                <xm:f>0</xm:f>
              </x14:cfvo>
              <x14:cfvo type="num" gte="0">
                <xm:f>0</xm:f>
              </x14:cfvo>
              <x14:cfIcon iconSet="3Arrows" iconId="0"/>
              <x14:cfIcon iconSet="3TrafficLights1" iconId="1"/>
              <x14:cfIcon iconSet="3Arrows" iconId="2"/>
            </x14:iconSet>
          </x14:cfRule>
          <xm:sqref>I7</xm:sqref>
        </x14:conditionalFormatting>
        <x14:conditionalFormatting xmlns:xm="http://schemas.microsoft.com/office/excel/2006/main">
          <x14:cfRule type="iconSet" priority="1512" id="{903A9579-97A6-489A-8873-89881E0373E3}">
            <x14:iconSet iconSet="3Arrows" custom="1">
              <x14:cfvo type="percent">
                <xm:f>0</xm:f>
              </x14:cfvo>
              <x14:cfvo type="num">
                <xm:f>0</xm:f>
              </x14:cfvo>
              <x14:cfvo type="num" gte="0">
                <xm:f>0</xm:f>
              </x14:cfvo>
              <x14:cfIcon iconSet="3Arrows" iconId="0"/>
              <x14:cfIcon iconSet="3TrafficLights1" iconId="1"/>
              <x14:cfIcon iconSet="3Arrows" iconId="2"/>
            </x14:iconSet>
          </x14:cfRule>
          <xm:sqref>I6</xm:sqref>
        </x14:conditionalFormatting>
        <x14:conditionalFormatting xmlns:xm="http://schemas.microsoft.com/office/excel/2006/main">
          <x14:cfRule type="iconSet" priority="1511" id="{AA1BAFB5-6DBC-4F97-A9B6-72BCDE1A4A93}">
            <x14:iconSet iconSet="3Arrows" custom="1">
              <x14:cfvo type="percent">
                <xm:f>0</xm:f>
              </x14:cfvo>
              <x14:cfvo type="num">
                <xm:f>0</xm:f>
              </x14:cfvo>
              <x14:cfvo type="num" gte="0">
                <xm:f>0</xm:f>
              </x14:cfvo>
              <x14:cfIcon iconSet="3Arrows" iconId="0"/>
              <x14:cfIcon iconSet="3TrafficLights1" iconId="1"/>
              <x14:cfIcon iconSet="3Arrows" iconId="2"/>
            </x14:iconSet>
          </x14:cfRule>
          <xm:sqref>I6</xm:sqref>
        </x14:conditionalFormatting>
        <x14:conditionalFormatting xmlns:xm="http://schemas.microsoft.com/office/excel/2006/main">
          <x14:cfRule type="iconSet" priority="1510" id="{E6445419-0BA8-4C9C-9035-4CC927B7C72F}">
            <x14:iconSet iconSet="3Arrows" custom="1">
              <x14:cfvo type="percent">
                <xm:f>0</xm:f>
              </x14:cfvo>
              <x14:cfvo type="num">
                <xm:f>0</xm:f>
              </x14:cfvo>
              <x14:cfvo type="num" gte="0">
                <xm:f>0</xm:f>
              </x14:cfvo>
              <x14:cfIcon iconSet="3Arrows" iconId="0"/>
              <x14:cfIcon iconSet="3TrafficLights1" iconId="1"/>
              <x14:cfIcon iconSet="3Arrows" iconId="2"/>
            </x14:iconSet>
          </x14:cfRule>
          <xm:sqref>I9</xm:sqref>
        </x14:conditionalFormatting>
        <x14:conditionalFormatting xmlns:xm="http://schemas.microsoft.com/office/excel/2006/main">
          <x14:cfRule type="iconSet" priority="1509" id="{239656D6-DB41-4BF3-B4F4-F11E2FD33A66}">
            <x14:iconSet iconSet="3Arrows" custom="1">
              <x14:cfvo type="percent">
                <xm:f>0</xm:f>
              </x14:cfvo>
              <x14:cfvo type="num">
                <xm:f>0</xm:f>
              </x14:cfvo>
              <x14:cfvo type="num" gte="0">
                <xm:f>0</xm:f>
              </x14:cfvo>
              <x14:cfIcon iconSet="3Arrows" iconId="0"/>
              <x14:cfIcon iconSet="3TrafficLights1" iconId="1"/>
              <x14:cfIcon iconSet="3Arrows" iconId="2"/>
            </x14:iconSet>
          </x14:cfRule>
          <xm:sqref>I20</xm:sqref>
        </x14:conditionalFormatting>
        <x14:conditionalFormatting xmlns:xm="http://schemas.microsoft.com/office/excel/2006/main">
          <x14:cfRule type="iconSet" priority="1508" id="{D484180B-5EC8-46ED-81F8-873A69F5930D}">
            <x14:iconSet iconSet="3Arrows" custom="1">
              <x14:cfvo type="percent">
                <xm:f>0</xm:f>
              </x14:cfvo>
              <x14:cfvo type="num">
                <xm:f>0</xm:f>
              </x14:cfvo>
              <x14:cfvo type="num" gte="0">
                <xm:f>0</xm:f>
              </x14:cfvo>
              <x14:cfIcon iconSet="3Arrows" iconId="0"/>
              <x14:cfIcon iconSet="3TrafficLights1" iconId="1"/>
              <x14:cfIcon iconSet="3Arrows" iconId="2"/>
            </x14:iconSet>
          </x14:cfRule>
          <xm:sqref>I20</xm:sqref>
        </x14:conditionalFormatting>
        <x14:conditionalFormatting xmlns:xm="http://schemas.microsoft.com/office/excel/2006/main">
          <x14:cfRule type="iconSet" priority="1507" id="{F3FDB84B-8033-48CD-8F55-8580B8025889}">
            <x14:iconSet iconSet="3Arrows" custom="1">
              <x14:cfvo type="percent">
                <xm:f>0</xm:f>
              </x14:cfvo>
              <x14:cfvo type="num">
                <xm:f>0</xm:f>
              </x14:cfvo>
              <x14:cfvo type="num" gte="0">
                <xm:f>0</xm:f>
              </x14:cfvo>
              <x14:cfIcon iconSet="3Arrows" iconId="0"/>
              <x14:cfIcon iconSet="3TrafficLights1" iconId="1"/>
              <x14:cfIcon iconSet="3Arrows" iconId="2"/>
            </x14:iconSet>
          </x14:cfRule>
          <xm:sqref>I18</xm:sqref>
        </x14:conditionalFormatting>
        <x14:conditionalFormatting xmlns:xm="http://schemas.microsoft.com/office/excel/2006/main">
          <x14:cfRule type="iconSet" priority="1506" id="{BAF344E3-C185-4043-8728-02B112324FC5}">
            <x14:iconSet iconSet="3Arrows" custom="1">
              <x14:cfvo type="percent">
                <xm:f>0</xm:f>
              </x14:cfvo>
              <x14:cfvo type="num">
                <xm:f>0</xm:f>
              </x14:cfvo>
              <x14:cfvo type="num" gte="0">
                <xm:f>0</xm:f>
              </x14:cfvo>
              <x14:cfIcon iconSet="3Arrows" iconId="0"/>
              <x14:cfIcon iconSet="3TrafficLights1" iconId="1"/>
              <x14:cfIcon iconSet="3Arrows" iconId="2"/>
            </x14:iconSet>
          </x14:cfRule>
          <xm:sqref>I19</xm:sqref>
        </x14:conditionalFormatting>
        <x14:conditionalFormatting xmlns:xm="http://schemas.microsoft.com/office/excel/2006/main">
          <x14:cfRule type="iconSet" priority="1505" id="{CE2D3E05-80F0-42D7-BC49-A93C29E0D975}">
            <x14:iconSet iconSet="3Arrows" custom="1">
              <x14:cfvo type="percent">
                <xm:f>0</xm:f>
              </x14:cfvo>
              <x14:cfvo type="num">
                <xm:f>0</xm:f>
              </x14:cfvo>
              <x14:cfvo type="num" gte="0">
                <xm:f>0</xm:f>
              </x14:cfvo>
              <x14:cfIcon iconSet="3Arrows" iconId="0"/>
              <x14:cfIcon iconSet="3TrafficLights1" iconId="1"/>
              <x14:cfIcon iconSet="3Arrows" iconId="2"/>
            </x14:iconSet>
          </x14:cfRule>
          <xm:sqref>I21</xm:sqref>
        </x14:conditionalFormatting>
        <x14:conditionalFormatting xmlns:xm="http://schemas.microsoft.com/office/excel/2006/main">
          <x14:cfRule type="iconSet" priority="1504" id="{CDF1B44A-CD3C-46B7-B285-D9A29650A482}">
            <x14:iconSet iconSet="3Arrows" custom="1">
              <x14:cfvo type="percent">
                <xm:f>0</xm:f>
              </x14:cfvo>
              <x14:cfvo type="num">
                <xm:f>0</xm:f>
              </x14:cfvo>
              <x14:cfvo type="num" gte="0">
                <xm:f>0</xm:f>
              </x14:cfvo>
              <x14:cfIcon iconSet="3Arrows" iconId="0"/>
              <x14:cfIcon iconSet="3TrafficLights1" iconId="1"/>
              <x14:cfIcon iconSet="3Arrows" iconId="2"/>
            </x14:iconSet>
          </x14:cfRule>
          <xm:sqref>I21</xm:sqref>
        </x14:conditionalFormatting>
        <x14:conditionalFormatting xmlns:xm="http://schemas.microsoft.com/office/excel/2006/main">
          <x14:cfRule type="iconSet" priority="1502" id="{07E5E8DF-78BC-4A8C-9ADB-67A55A40DB26}">
            <x14:iconSet iconSet="3Arrows" custom="1">
              <x14:cfvo type="percent">
                <xm:f>0</xm:f>
              </x14:cfvo>
              <x14:cfvo type="num">
                <xm:f>0</xm:f>
              </x14:cfvo>
              <x14:cfvo type="num" gte="0">
                <xm:f>0</xm:f>
              </x14:cfvo>
              <x14:cfIcon iconSet="3Arrows" iconId="0"/>
              <x14:cfIcon iconSet="3TrafficLights1" iconId="1"/>
              <x14:cfIcon iconSet="3Arrows" iconId="2"/>
            </x14:iconSet>
          </x14:cfRule>
          <xm:sqref>I23</xm:sqref>
        </x14:conditionalFormatting>
        <x14:conditionalFormatting xmlns:xm="http://schemas.microsoft.com/office/excel/2006/main">
          <x14:cfRule type="iconSet" priority="1501" id="{EA977BAC-1EDE-4BE2-95CB-CD8A5310C546}">
            <x14:iconSet iconSet="3Arrows" custom="1">
              <x14:cfvo type="percent">
                <xm:f>0</xm:f>
              </x14:cfvo>
              <x14:cfvo type="num">
                <xm:f>0</xm:f>
              </x14:cfvo>
              <x14:cfvo type="num" gte="0">
                <xm:f>0</xm:f>
              </x14:cfvo>
              <x14:cfIcon iconSet="3Arrows" iconId="0"/>
              <x14:cfIcon iconSet="3TrafficLights1" iconId="1"/>
              <x14:cfIcon iconSet="3Arrows" iconId="2"/>
            </x14:iconSet>
          </x14:cfRule>
          <xm:sqref>I22</xm:sqref>
        </x14:conditionalFormatting>
        <x14:conditionalFormatting xmlns:xm="http://schemas.microsoft.com/office/excel/2006/main">
          <x14:cfRule type="iconSet" priority="1500" id="{57579136-0216-4D24-8D92-EDCA8415DA99}">
            <x14:iconSet iconSet="3Arrows" custom="1">
              <x14:cfvo type="percent">
                <xm:f>0</xm:f>
              </x14:cfvo>
              <x14:cfvo type="num">
                <xm:f>0</xm:f>
              </x14:cfvo>
              <x14:cfvo type="num" gte="0">
                <xm:f>0</xm:f>
              </x14:cfvo>
              <x14:cfIcon iconSet="3Arrows" iconId="0"/>
              <x14:cfIcon iconSet="3TrafficLights1" iconId="1"/>
              <x14:cfIcon iconSet="3Arrows" iconId="2"/>
            </x14:iconSet>
          </x14:cfRule>
          <xm:sqref>I22</xm:sqref>
        </x14:conditionalFormatting>
        <x14:conditionalFormatting xmlns:xm="http://schemas.microsoft.com/office/excel/2006/main">
          <x14:cfRule type="iconSet" priority="1499" id="{6A3C05B4-585B-4D4D-A6DC-678D1BD983C1}">
            <x14:iconSet iconSet="3Arrows" custom="1">
              <x14:cfvo type="percent">
                <xm:f>0</xm:f>
              </x14:cfvo>
              <x14:cfvo type="num">
                <xm:f>0</xm:f>
              </x14:cfvo>
              <x14:cfvo type="num" gte="0">
                <xm:f>0</xm:f>
              </x14:cfvo>
              <x14:cfIcon iconSet="3Arrows" iconId="0"/>
              <x14:cfIcon iconSet="3TrafficLights1" iconId="1"/>
              <x14:cfIcon iconSet="3Arrows" iconId="2"/>
            </x14:iconSet>
          </x14:cfRule>
          <xm:sqref>I16</xm:sqref>
        </x14:conditionalFormatting>
        <x14:conditionalFormatting xmlns:xm="http://schemas.microsoft.com/office/excel/2006/main">
          <x14:cfRule type="iconSet" priority="1498" id="{6EF476BC-BB50-4AD7-AE3C-3C1521CC2FAC}">
            <x14:iconSet iconSet="3Arrows" custom="1">
              <x14:cfvo type="percent">
                <xm:f>0</xm:f>
              </x14:cfvo>
              <x14:cfvo type="num">
                <xm:f>0</xm:f>
              </x14:cfvo>
              <x14:cfvo type="num" gte="0">
                <xm:f>0</xm:f>
              </x14:cfvo>
              <x14:cfIcon iconSet="3Arrows" iconId="0"/>
              <x14:cfIcon iconSet="3TrafficLights1" iconId="1"/>
              <x14:cfIcon iconSet="3Arrows" iconId="2"/>
            </x14:iconSet>
          </x14:cfRule>
          <xm:sqref>I15</xm:sqref>
        </x14:conditionalFormatting>
        <x14:conditionalFormatting xmlns:xm="http://schemas.microsoft.com/office/excel/2006/main">
          <x14:cfRule type="iconSet" priority="1497" id="{AD02A1F5-C89C-4C30-85CC-B9C862239EDC}">
            <x14:iconSet iconSet="3Arrows" custom="1">
              <x14:cfvo type="percent">
                <xm:f>0</xm:f>
              </x14:cfvo>
              <x14:cfvo type="num">
                <xm:f>0</xm:f>
              </x14:cfvo>
              <x14:cfvo type="num" gte="0">
                <xm:f>0</xm:f>
              </x14:cfvo>
              <x14:cfIcon iconSet="3Arrows" iconId="0"/>
              <x14:cfIcon iconSet="3TrafficLights1" iconId="1"/>
              <x14:cfIcon iconSet="3Arrows" iconId="2"/>
            </x14:iconSet>
          </x14:cfRule>
          <xm:sqref>I14</xm:sqref>
        </x14:conditionalFormatting>
        <x14:conditionalFormatting xmlns:xm="http://schemas.microsoft.com/office/excel/2006/main">
          <x14:cfRule type="iconSet" priority="1496" id="{451F73BA-D72A-4121-AC94-C7818575E517}">
            <x14:iconSet iconSet="3Arrows" custom="1">
              <x14:cfvo type="percent">
                <xm:f>0</xm:f>
              </x14:cfvo>
              <x14:cfvo type="num">
                <xm:f>0</xm:f>
              </x14:cfvo>
              <x14:cfvo type="num" gte="0">
                <xm:f>0</xm:f>
              </x14:cfvo>
              <x14:cfIcon iconSet="3Arrows" iconId="0"/>
              <x14:cfIcon iconSet="3TrafficLights1" iconId="1"/>
              <x14:cfIcon iconSet="3Arrows" iconId="2"/>
            </x14:iconSet>
          </x14:cfRule>
          <xm:sqref>I14</xm:sqref>
        </x14:conditionalFormatting>
        <x14:conditionalFormatting xmlns:xm="http://schemas.microsoft.com/office/excel/2006/main">
          <x14:cfRule type="iconSet" priority="1495" id="{E906DF98-2F0A-4C12-BFA6-EFC9F95C8D30}">
            <x14:iconSet iconSet="3Arrows" custom="1">
              <x14:cfvo type="percent">
                <xm:f>0</xm:f>
              </x14:cfvo>
              <x14:cfvo type="num">
                <xm:f>0</xm:f>
              </x14:cfvo>
              <x14:cfvo type="num" gte="0">
                <xm:f>0</xm:f>
              </x14:cfvo>
              <x14:cfIcon iconSet="3Arrows" iconId="0"/>
              <x14:cfIcon iconSet="3TrafficLights1" iconId="1"/>
              <x14:cfIcon iconSet="3Arrows" iconId="2"/>
            </x14:iconSet>
          </x14:cfRule>
          <xm:sqref>I17</xm:sqref>
        </x14:conditionalFormatting>
        <x14:conditionalFormatting xmlns:xm="http://schemas.microsoft.com/office/excel/2006/main">
          <x14:cfRule type="iconSet" priority="1493" id="{9DE51004-6B8F-457D-8491-18D41F47AF3D}">
            <x14:iconSet iconSet="3Arrows" custom="1">
              <x14:cfvo type="percent">
                <xm:f>0</xm:f>
              </x14:cfvo>
              <x14:cfvo type="num">
                <xm:f>0</xm:f>
              </x14:cfvo>
              <x14:cfvo type="num" gte="0">
                <xm:f>0</xm:f>
              </x14:cfvo>
              <x14:cfIcon iconSet="3Arrows" iconId="0"/>
              <x14:cfIcon iconSet="3TrafficLights1" iconId="1"/>
              <x14:cfIcon iconSet="3Arrows" iconId="2"/>
            </x14:iconSet>
          </x14:cfRule>
          <xm:sqref>I31</xm:sqref>
        </x14:conditionalFormatting>
        <x14:conditionalFormatting xmlns:xm="http://schemas.microsoft.com/office/excel/2006/main">
          <x14:cfRule type="iconSet" priority="1492" id="{E03D6783-6B2C-4ADF-B585-B6DA194DA42B}">
            <x14:iconSet iconSet="3Arrows" custom="1">
              <x14:cfvo type="percent">
                <xm:f>0</xm:f>
              </x14:cfvo>
              <x14:cfvo type="num">
                <xm:f>0</xm:f>
              </x14:cfvo>
              <x14:cfvo type="num" gte="0">
                <xm:f>0</xm:f>
              </x14:cfvo>
              <x14:cfIcon iconSet="3Arrows" iconId="0"/>
              <x14:cfIcon iconSet="3TrafficLights1" iconId="1"/>
              <x14:cfIcon iconSet="3Arrows" iconId="2"/>
            </x14:iconSet>
          </x14:cfRule>
          <xm:sqref>I30</xm:sqref>
        </x14:conditionalFormatting>
        <x14:conditionalFormatting xmlns:xm="http://schemas.microsoft.com/office/excel/2006/main">
          <x14:cfRule type="iconSet" priority="1491" id="{67DCB3A7-D385-440D-B927-D15BB21AAFF8}">
            <x14:iconSet iconSet="3Arrows" custom="1">
              <x14:cfvo type="percent">
                <xm:f>0</xm:f>
              </x14:cfvo>
              <x14:cfvo type="num">
                <xm:f>0</xm:f>
              </x14:cfvo>
              <x14:cfvo type="num" gte="0">
                <xm:f>0</xm:f>
              </x14:cfvo>
              <x14:cfIcon iconSet="3Arrows" iconId="0"/>
              <x14:cfIcon iconSet="3TrafficLights1" iconId="1"/>
              <x14:cfIcon iconSet="3Arrows" iconId="2"/>
            </x14:iconSet>
          </x14:cfRule>
          <xm:sqref>I30</xm:sqref>
        </x14:conditionalFormatting>
        <x14:conditionalFormatting xmlns:xm="http://schemas.microsoft.com/office/excel/2006/main">
          <x14:cfRule type="iconSet" priority="1489" id="{8CFDEE36-72FC-4252-BAF0-75EDAE54EFC7}">
            <x14:iconSet iconSet="3Arrows" custom="1">
              <x14:cfvo type="percent">
                <xm:f>0</xm:f>
              </x14:cfvo>
              <x14:cfvo type="num">
                <xm:f>0</xm:f>
              </x14:cfvo>
              <x14:cfvo type="num" gte="0">
                <xm:f>0</xm:f>
              </x14:cfvo>
              <x14:cfIcon iconSet="3Arrows" iconId="0"/>
              <x14:cfIcon iconSet="3TrafficLights1" iconId="1"/>
              <x14:cfIcon iconSet="3Arrows" iconId="2"/>
            </x14:iconSet>
          </x14:cfRule>
          <xm:sqref>I24</xm:sqref>
        </x14:conditionalFormatting>
        <x14:conditionalFormatting xmlns:xm="http://schemas.microsoft.com/office/excel/2006/main">
          <x14:cfRule type="iconSet" priority="1488" id="{63432CDE-BF41-43A9-A878-9B8B1C9E5D3D}">
            <x14:iconSet iconSet="3Arrows" custom="1">
              <x14:cfvo type="percent">
                <xm:f>0</xm:f>
              </x14:cfvo>
              <x14:cfvo type="num">
                <xm:f>0</xm:f>
              </x14:cfvo>
              <x14:cfvo type="num" gte="0">
                <xm:f>0</xm:f>
              </x14:cfvo>
              <x14:cfIcon iconSet="3Arrows" iconId="0"/>
              <x14:cfIcon iconSet="3TrafficLights1" iconId="1"/>
              <x14:cfIcon iconSet="3Arrows" iconId="2"/>
            </x14:iconSet>
          </x14:cfRule>
          <xm:sqref>I25</xm:sqref>
        </x14:conditionalFormatting>
        <x14:conditionalFormatting xmlns:xm="http://schemas.microsoft.com/office/excel/2006/main">
          <x14:cfRule type="iconSet" priority="1487" id="{5DE7F5B7-5CBF-4785-ADB7-6A8CCD05CEC8}">
            <x14:iconSet iconSet="3Arrows" custom="1">
              <x14:cfvo type="percent">
                <xm:f>0</xm:f>
              </x14:cfvo>
              <x14:cfvo type="num">
                <xm:f>0</xm:f>
              </x14:cfvo>
              <x14:cfvo type="num" gte="0">
                <xm:f>0</xm:f>
              </x14:cfvo>
              <x14:cfIcon iconSet="3Arrows" iconId="0"/>
              <x14:cfIcon iconSet="3TrafficLights1" iconId="1"/>
              <x14:cfIcon iconSet="3Arrows" iconId="2"/>
            </x14:iconSet>
          </x14:cfRule>
          <xm:sqref>I28</xm:sqref>
        </x14:conditionalFormatting>
        <x14:conditionalFormatting xmlns:xm="http://schemas.microsoft.com/office/excel/2006/main">
          <x14:cfRule type="iconSet" priority="1486" id="{9D6F4FCD-ACA2-4318-A7C6-4E1DE2A55B4F}">
            <x14:iconSet iconSet="3Arrows" custom="1">
              <x14:cfvo type="percent">
                <xm:f>0</xm:f>
              </x14:cfvo>
              <x14:cfvo type="num">
                <xm:f>0</xm:f>
              </x14:cfvo>
              <x14:cfvo type="num" gte="0">
                <xm:f>0</xm:f>
              </x14:cfvo>
              <x14:cfIcon iconSet="3Arrows" iconId="0"/>
              <x14:cfIcon iconSet="3TrafficLights1" iconId="1"/>
              <x14:cfIcon iconSet="3Arrows" iconId="2"/>
            </x14:iconSet>
          </x14:cfRule>
          <xm:sqref>I27</xm:sqref>
        </x14:conditionalFormatting>
        <x14:conditionalFormatting xmlns:xm="http://schemas.microsoft.com/office/excel/2006/main">
          <x14:cfRule type="iconSet" priority="1485" id="{CC040C48-2B09-416E-801B-136B01B8A3E5}">
            <x14:iconSet iconSet="3Arrows" custom="1">
              <x14:cfvo type="percent">
                <xm:f>0</xm:f>
              </x14:cfvo>
              <x14:cfvo type="num">
                <xm:f>0</xm:f>
              </x14:cfvo>
              <x14:cfvo type="num" gte="0">
                <xm:f>0</xm:f>
              </x14:cfvo>
              <x14:cfIcon iconSet="3Arrows" iconId="0"/>
              <x14:cfIcon iconSet="3TrafficLights1" iconId="1"/>
              <x14:cfIcon iconSet="3Arrows" iconId="2"/>
            </x14:iconSet>
          </x14:cfRule>
          <xm:sqref>I26</xm:sqref>
        </x14:conditionalFormatting>
        <x14:conditionalFormatting xmlns:xm="http://schemas.microsoft.com/office/excel/2006/main">
          <x14:cfRule type="iconSet" priority="1484" id="{0D3160A8-5086-4924-9306-8E686A89081D}">
            <x14:iconSet iconSet="3Arrows" custom="1">
              <x14:cfvo type="percent">
                <xm:f>0</xm:f>
              </x14:cfvo>
              <x14:cfvo type="num">
                <xm:f>0</xm:f>
              </x14:cfvo>
              <x14:cfvo type="num" gte="0">
                <xm:f>0</xm:f>
              </x14:cfvo>
              <x14:cfIcon iconSet="3Arrows" iconId="0"/>
              <x14:cfIcon iconSet="3TrafficLights1" iconId="1"/>
              <x14:cfIcon iconSet="3Arrows" iconId="2"/>
            </x14:iconSet>
          </x14:cfRule>
          <xm:sqref>I26</xm:sqref>
        </x14:conditionalFormatting>
        <x14:conditionalFormatting xmlns:xm="http://schemas.microsoft.com/office/excel/2006/main">
          <x14:cfRule type="iconSet" priority="1483" id="{8783DB1C-4A3B-441A-9AED-D0DDB8438A58}">
            <x14:iconSet iconSet="3Arrows" custom="1">
              <x14:cfvo type="percent">
                <xm:f>0</xm:f>
              </x14:cfvo>
              <x14:cfvo type="num">
                <xm:f>0</xm:f>
              </x14:cfvo>
              <x14:cfvo type="num" gte="0">
                <xm:f>0</xm:f>
              </x14:cfvo>
              <x14:cfIcon iconSet="3Arrows" iconId="0"/>
              <x14:cfIcon iconSet="3TrafficLights1" iconId="1"/>
              <x14:cfIcon iconSet="3Arrows" iconId="2"/>
            </x14:iconSet>
          </x14:cfRule>
          <xm:sqref>I29</xm:sqref>
        </x14:conditionalFormatting>
        <x14:conditionalFormatting xmlns:xm="http://schemas.microsoft.com/office/excel/2006/main">
          <x14:cfRule type="iconSet" priority="1472" id="{2D66EF93-0E3D-47EE-85B1-453F5192BAC5}">
            <x14:iconSet iconSet="3Arrows" custom="1">
              <x14:cfvo type="percent">
                <xm:f>0</xm:f>
              </x14:cfvo>
              <x14:cfvo type="num">
                <xm:f>0</xm:f>
              </x14:cfvo>
              <x14:cfvo type="num" gte="0">
                <xm:f>0</xm:f>
              </x14:cfvo>
              <x14:cfIcon iconSet="3Arrows" iconId="0"/>
              <x14:cfIcon iconSet="3TrafficLights1" iconId="1"/>
              <x14:cfIcon iconSet="3Arrows" iconId="2"/>
            </x14:iconSet>
          </x14:cfRule>
          <xm:sqref>I33</xm:sqref>
        </x14:conditionalFormatting>
        <x14:conditionalFormatting xmlns:xm="http://schemas.microsoft.com/office/excel/2006/main">
          <x14:cfRule type="iconSet" priority="1471" id="{598BB6BD-ECC9-41E4-A4CE-C9D6998CE59C}">
            <x14:iconSet iconSet="3Arrows" custom="1">
              <x14:cfvo type="percent">
                <xm:f>0</xm:f>
              </x14:cfvo>
              <x14:cfvo type="num">
                <xm:f>0</xm:f>
              </x14:cfvo>
              <x14:cfvo type="num" gte="0">
                <xm:f>0</xm:f>
              </x14:cfvo>
              <x14:cfIcon iconSet="3Arrows" iconId="0"/>
              <x14:cfIcon iconSet="3TrafficLights1" iconId="1"/>
              <x14:cfIcon iconSet="3Arrows" iconId="2"/>
            </x14:iconSet>
          </x14:cfRule>
          <xm:sqref>I32</xm:sqref>
        </x14:conditionalFormatting>
        <x14:conditionalFormatting xmlns:xm="http://schemas.microsoft.com/office/excel/2006/main">
          <x14:cfRule type="iconSet" priority="1470" id="{4B9EB2A5-79F9-47BA-AE67-F2AD215F44E4}">
            <x14:iconSet iconSet="3Arrows" custom="1">
              <x14:cfvo type="percent">
                <xm:f>0</xm:f>
              </x14:cfvo>
              <x14:cfvo type="num">
                <xm:f>0</xm:f>
              </x14:cfvo>
              <x14:cfvo type="num" gte="0">
                <xm:f>0</xm:f>
              </x14:cfvo>
              <x14:cfIcon iconSet="3Arrows" iconId="0"/>
              <x14:cfIcon iconSet="3TrafficLights1" iconId="1"/>
              <x14:cfIcon iconSet="3Arrows" iconId="2"/>
            </x14:iconSet>
          </x14:cfRule>
          <xm:sqref>I32</xm:sqref>
        </x14:conditionalFormatting>
        <x14:conditionalFormatting xmlns:xm="http://schemas.microsoft.com/office/excel/2006/main">
          <x14:cfRule type="iconSet" priority="295" id="{0411747E-8717-455E-AE17-2EA6AE5B81D1}">
            <x14:iconSet iconSet="3Arrows" custom="1">
              <x14:cfvo type="percent">
                <xm:f>0</xm:f>
              </x14:cfvo>
              <x14:cfvo type="num">
                <xm:f>0</xm:f>
              </x14:cfvo>
              <x14:cfvo type="num" gte="0">
                <xm:f>0</xm:f>
              </x14:cfvo>
              <x14:cfIcon iconSet="3Arrows" iconId="0"/>
              <x14:cfIcon iconSet="3TrafficLights1" iconId="1"/>
              <x14:cfIcon iconSet="3Arrows" iconId="2"/>
            </x14:iconSet>
          </x14:cfRule>
          <xm:sqref>I34</xm:sqref>
        </x14:conditionalFormatting>
        <x14:conditionalFormatting xmlns:xm="http://schemas.microsoft.com/office/excel/2006/main">
          <x14:cfRule type="iconSet" priority="294" id="{3732CCA2-67B2-42B4-AF16-0E44FEC057AF}">
            <x14:iconSet iconSet="3Arrows" custom="1">
              <x14:cfvo type="percent">
                <xm:f>0</xm:f>
              </x14:cfvo>
              <x14:cfvo type="num">
                <xm:f>0</xm:f>
              </x14:cfvo>
              <x14:cfvo type="num" gte="0">
                <xm:f>0</xm:f>
              </x14:cfvo>
              <x14:cfIcon iconSet="3Arrows" iconId="0"/>
              <x14:cfIcon iconSet="3TrafficLights1" iconId="1"/>
              <x14:cfIcon iconSet="3Arrows" iconId="2"/>
            </x14:iconSet>
          </x14:cfRule>
          <xm:sqref>I34</xm:sqref>
        </x14:conditionalFormatting>
        <x14:conditionalFormatting xmlns:xm="http://schemas.microsoft.com/office/excel/2006/main">
          <x14:cfRule type="iconSet" priority="259" id="{EEEF6BE7-84A6-43CB-979A-92656A5D68C3}">
            <x14:iconSet iconSet="3Arrows" custom="1">
              <x14:cfvo type="percent">
                <xm:f>0</xm:f>
              </x14:cfvo>
              <x14:cfvo type="num">
                <xm:f>0</xm:f>
              </x14:cfvo>
              <x14:cfvo type="num" gte="0">
                <xm:f>0</xm:f>
              </x14:cfvo>
              <x14:cfIcon iconSet="3Arrows" iconId="0"/>
              <x14:cfIcon iconSet="3TrafficLights1" iconId="1"/>
              <x14:cfIcon iconSet="3Arrows" iconId="2"/>
            </x14:iconSet>
          </x14:cfRule>
          <xm:sqref>I35 I48</xm:sqref>
        </x14:conditionalFormatting>
        <x14:conditionalFormatting xmlns:xm="http://schemas.microsoft.com/office/excel/2006/main">
          <x14:cfRule type="iconSet" priority="258" id="{BA925FAB-5D1B-4998-A242-7A974DA9E17F}">
            <x14:iconSet iconSet="3Arrows" custom="1">
              <x14:cfvo type="percent">
                <xm:f>0</xm:f>
              </x14:cfvo>
              <x14:cfvo type="num">
                <xm:f>0</xm:f>
              </x14:cfvo>
              <x14:cfvo type="num" gte="0">
                <xm:f>0</xm:f>
              </x14:cfvo>
              <x14:cfIcon iconSet="3Arrows" iconId="0"/>
              <x14:cfIcon iconSet="3TrafficLights1" iconId="1"/>
              <x14:cfIcon iconSet="3Arrows" iconId="2"/>
            </x14:iconSet>
          </x14:cfRule>
          <xm:sqref>I35 I48</xm:sqref>
        </x14:conditionalFormatting>
        <x14:conditionalFormatting xmlns:xm="http://schemas.microsoft.com/office/excel/2006/main">
          <x14:cfRule type="iconSet" priority="257" id="{2A4CF55E-5C53-4DCC-A03C-32A9279157E2}">
            <x14:iconSet iconSet="3Arrows" custom="1">
              <x14:cfvo type="percent">
                <xm:f>0</xm:f>
              </x14:cfvo>
              <x14:cfvo type="num">
                <xm:f>0</xm:f>
              </x14:cfvo>
              <x14:cfvo type="num" gte="0">
                <xm:f>0</xm:f>
              </x14:cfvo>
              <x14:cfIcon iconSet="3Arrows" iconId="0"/>
              <x14:cfIcon iconSet="3TrafficLights1" iconId="1"/>
              <x14:cfIcon iconSet="3Arrows" iconId="2"/>
            </x14:iconSet>
          </x14:cfRule>
          <xm:sqref>I37 I50</xm:sqref>
        </x14:conditionalFormatting>
        <x14:conditionalFormatting xmlns:xm="http://schemas.microsoft.com/office/excel/2006/main">
          <x14:cfRule type="iconSet" priority="256" id="{0F71FCEE-091C-4028-8DA4-A09E91FB02A4}">
            <x14:iconSet iconSet="3Arrows" custom="1">
              <x14:cfvo type="percent">
                <xm:f>0</xm:f>
              </x14:cfvo>
              <x14:cfvo type="num">
                <xm:f>0</xm:f>
              </x14:cfvo>
              <x14:cfvo type="num" gte="0">
                <xm:f>0</xm:f>
              </x14:cfvo>
              <x14:cfIcon iconSet="3Arrows" iconId="0"/>
              <x14:cfIcon iconSet="3TrafficLights1" iconId="1"/>
              <x14:cfIcon iconSet="3Arrows" iconId="2"/>
            </x14:iconSet>
          </x14:cfRule>
          <xm:sqref>I36 I49</xm:sqref>
        </x14:conditionalFormatting>
        <x14:conditionalFormatting xmlns:xm="http://schemas.microsoft.com/office/excel/2006/main">
          <x14:cfRule type="iconSet" priority="255" id="{F5201140-7CED-480A-980F-A06AF221543D}">
            <x14:iconSet iconSet="3Arrows" custom="1">
              <x14:cfvo type="percent">
                <xm:f>0</xm:f>
              </x14:cfvo>
              <x14:cfvo type="num">
                <xm:f>0</xm:f>
              </x14:cfvo>
              <x14:cfvo type="num" gte="0">
                <xm:f>0</xm:f>
              </x14:cfvo>
              <x14:cfIcon iconSet="3Arrows" iconId="0"/>
              <x14:cfIcon iconSet="3TrafficLights1" iconId="1"/>
              <x14:cfIcon iconSet="3Arrows" iconId="2"/>
            </x14:iconSet>
          </x14:cfRule>
          <xm:sqref>I36 I49</xm:sqref>
        </x14:conditionalFormatting>
        <x14:conditionalFormatting xmlns:xm="http://schemas.microsoft.com/office/excel/2006/main">
          <x14:cfRule type="iconSet" priority="244" id="{A5566E89-F771-4C38-9AD1-5442FA4A2EEC}">
            <x14:iconSet iconSet="3Arrows" custom="1">
              <x14:cfvo type="percent">
                <xm:f>0</xm:f>
              </x14:cfvo>
              <x14:cfvo type="num">
                <xm:f>0</xm:f>
              </x14:cfvo>
              <x14:cfvo type="num" gte="0">
                <xm:f>0</xm:f>
              </x14:cfvo>
              <x14:cfIcon iconSet="3Arrows" iconId="0"/>
              <x14:cfIcon iconSet="3TrafficLights1" iconId="1"/>
              <x14:cfIcon iconSet="3Arrows" iconId="2"/>
            </x14:iconSet>
          </x14:cfRule>
          <xm:sqref>I47</xm:sqref>
        </x14:conditionalFormatting>
        <x14:conditionalFormatting xmlns:xm="http://schemas.microsoft.com/office/excel/2006/main">
          <x14:cfRule type="iconSet" priority="1522" id="{855149E6-2844-45E8-B4C9-A6DA7F5558CD}">
            <x14:iconSet iconSet="3Arrows" custom="1">
              <x14:cfvo type="percent">
                <xm:f>0</xm:f>
              </x14:cfvo>
              <x14:cfvo type="num">
                <xm:f>0</xm:f>
              </x14:cfvo>
              <x14:cfvo type="num" gte="0">
                <xm:f>0</xm:f>
              </x14:cfvo>
              <x14:cfIcon iconSet="3Arrows" iconId="0"/>
              <x14:cfIcon iconSet="3TrafficLights1" iconId="1"/>
              <x14:cfIcon iconSet="3Arrows" iconId="2"/>
            </x14:iconSet>
          </x14:cfRule>
          <xm:sqref>I45</xm:sqref>
        </x14:conditionalFormatting>
        <x14:conditionalFormatting xmlns:xm="http://schemas.microsoft.com/office/excel/2006/main">
          <x14:cfRule type="iconSet" priority="1526" id="{8B450D02-379B-4F02-9332-60BEC316A356}">
            <x14:iconSet iconSet="3Arrows" custom="1">
              <x14:cfvo type="percent">
                <xm:f>0</xm:f>
              </x14:cfvo>
              <x14:cfvo type="num">
                <xm:f>0</xm:f>
              </x14:cfvo>
              <x14:cfvo type="num" gte="0">
                <xm:f>0</xm:f>
              </x14:cfvo>
              <x14:cfIcon iconSet="3Arrows" iconId="0"/>
              <x14:cfIcon iconSet="3TrafficLights1" iconId="1"/>
              <x14:cfIcon iconSet="3Arrows" iconId="2"/>
            </x14:iconSet>
          </x14:cfRule>
          <xm:sqref>I46</xm:sqref>
        </x14:conditionalFormatting>
        <x14:conditionalFormatting xmlns:xm="http://schemas.microsoft.com/office/excel/2006/main">
          <x14:cfRule type="iconSet" priority="1535" id="{45CDA204-1A55-4C6B-AB52-90C3FA6EDC0C}">
            <x14:iconSet iconSet="3Arrows" custom="1">
              <x14:cfvo type="percent">
                <xm:f>0</xm:f>
              </x14:cfvo>
              <x14:cfvo type="num">
                <xm:f>0</xm:f>
              </x14:cfvo>
              <x14:cfvo type="num" gte="0">
                <xm:f>0</xm:f>
              </x14:cfvo>
              <x14:cfIcon iconSet="3Arrows" iconId="0"/>
              <x14:cfIcon iconSet="3TrafficLights1" iconId="1"/>
              <x14:cfIcon iconSet="3Arrows" iconId="2"/>
            </x14:iconSet>
          </x14:cfRule>
          <xm:sqref>I44</xm:sqref>
        </x14:conditionalFormatting>
        <x14:conditionalFormatting xmlns:xm="http://schemas.microsoft.com/office/excel/2006/main">
          <x14:cfRule type="iconSet" priority="1543" id="{08C735D1-BBE1-4FC0-ACF5-825A4E8AD7A5}">
            <x14:iconSet iconSet="3Arrows" custom="1">
              <x14:cfvo type="percent">
                <xm:f>0</xm:f>
              </x14:cfvo>
              <x14:cfvo type="num">
                <xm:f>0</xm:f>
              </x14:cfvo>
              <x14:cfvo type="num" gte="0">
                <xm:f>0</xm:f>
              </x14:cfvo>
              <x14:cfIcon iconSet="3Arrows" iconId="0"/>
              <x14:cfIcon iconSet="3TrafficLights1" iconId="1"/>
              <x14:cfIcon iconSet="3Arrows" iconId="2"/>
            </x14:iconSet>
          </x14:cfRule>
          <xm:sqref>I38 I51</xm:sqref>
        </x14:conditionalFormatting>
        <x14:conditionalFormatting xmlns:xm="http://schemas.microsoft.com/office/excel/2006/main">
          <x14:cfRule type="iconSet" priority="1547" id="{C042E137-711D-4C9F-B9A3-C2078B36633C}">
            <x14:iconSet iconSet="3Arrows" custom="1">
              <x14:cfvo type="percent">
                <xm:f>0</xm:f>
              </x14:cfvo>
              <x14:cfvo type="num">
                <xm:f>0</xm:f>
              </x14:cfvo>
              <x14:cfvo type="num" gte="0">
                <xm:f>0</xm:f>
              </x14:cfvo>
              <x14:cfIcon iconSet="3Arrows" iconId="0"/>
              <x14:cfIcon iconSet="3TrafficLights1" iconId="1"/>
              <x14:cfIcon iconSet="3Arrows" iconId="2"/>
            </x14:iconSet>
          </x14:cfRule>
          <xm:sqref>I39 I52</xm:sqref>
        </x14:conditionalFormatting>
        <x14:conditionalFormatting xmlns:xm="http://schemas.microsoft.com/office/excel/2006/main">
          <x14:cfRule type="iconSet" priority="1551" id="{F9980284-9C3C-470D-9997-E21D3C75B481}">
            <x14:iconSet iconSet="3Arrows" custom="1">
              <x14:cfvo type="percent">
                <xm:f>0</xm:f>
              </x14:cfvo>
              <x14:cfvo type="num">
                <xm:f>0</xm:f>
              </x14:cfvo>
              <x14:cfvo type="num" gte="0">
                <xm:f>0</xm:f>
              </x14:cfvo>
              <x14:cfIcon iconSet="3Arrows" iconId="0"/>
              <x14:cfIcon iconSet="3TrafficLights1" iconId="1"/>
              <x14:cfIcon iconSet="3Arrows" iconId="2"/>
            </x14:iconSet>
          </x14:cfRule>
          <xm:sqref>I42 I55</xm:sqref>
        </x14:conditionalFormatting>
        <x14:conditionalFormatting xmlns:xm="http://schemas.microsoft.com/office/excel/2006/main">
          <x14:cfRule type="iconSet" priority="1555" id="{31539FA4-3285-424A-8159-410E58F1EB63}">
            <x14:iconSet iconSet="3Arrows" custom="1">
              <x14:cfvo type="percent">
                <xm:f>0</xm:f>
              </x14:cfvo>
              <x14:cfvo type="num">
                <xm:f>0</xm:f>
              </x14:cfvo>
              <x14:cfvo type="num" gte="0">
                <xm:f>0</xm:f>
              </x14:cfvo>
              <x14:cfIcon iconSet="3Arrows" iconId="0"/>
              <x14:cfIcon iconSet="3TrafficLights1" iconId="1"/>
              <x14:cfIcon iconSet="3Arrows" iconId="2"/>
            </x14:iconSet>
          </x14:cfRule>
          <xm:sqref>I41 I54</xm:sqref>
        </x14:conditionalFormatting>
        <x14:conditionalFormatting xmlns:xm="http://schemas.microsoft.com/office/excel/2006/main">
          <x14:cfRule type="iconSet" priority="1559" id="{BF499314-E603-4610-9AC6-0663865B5683}">
            <x14:iconSet iconSet="3Arrows" custom="1">
              <x14:cfvo type="percent">
                <xm:f>0</xm:f>
              </x14:cfvo>
              <x14:cfvo type="num">
                <xm:f>0</xm:f>
              </x14:cfvo>
              <x14:cfvo type="num" gte="0">
                <xm:f>0</xm:f>
              </x14:cfvo>
              <x14:cfIcon iconSet="3Arrows" iconId="0"/>
              <x14:cfIcon iconSet="3TrafficLights1" iconId="1"/>
              <x14:cfIcon iconSet="3Arrows" iconId="2"/>
            </x14:iconSet>
          </x14:cfRule>
          <xm:sqref>I40 I53</xm:sqref>
        </x14:conditionalFormatting>
        <x14:conditionalFormatting xmlns:xm="http://schemas.microsoft.com/office/excel/2006/main">
          <x14:cfRule type="iconSet" priority="1567" id="{3BAD8FE0-CB93-4E4E-96B3-DD4642CD19DD}">
            <x14:iconSet iconSet="3Arrows" custom="1">
              <x14:cfvo type="percent">
                <xm:f>0</xm:f>
              </x14:cfvo>
              <x14:cfvo type="num">
                <xm:f>0</xm:f>
              </x14:cfvo>
              <x14:cfvo type="num" gte="0">
                <xm:f>0</xm:f>
              </x14:cfvo>
              <x14:cfIcon iconSet="3Arrows" iconId="0"/>
              <x14:cfIcon iconSet="3TrafficLights1" iconId="1"/>
              <x14:cfIcon iconSet="3Arrows" iconId="2"/>
            </x14:iconSet>
          </x14:cfRule>
          <xm:sqref>I43</xm:sqref>
        </x14:conditionalFormatting>
        <x14:conditionalFormatting xmlns:xm="http://schemas.microsoft.com/office/excel/2006/main">
          <x14:cfRule type="iconSet" priority="228" id="{B3638F9D-F4B7-41DD-9C7C-18F1645B61E3}">
            <x14:iconSet iconSet="3Arrows" custom="1">
              <x14:cfvo type="percent">
                <xm:f>0</xm:f>
              </x14:cfvo>
              <x14:cfvo type="num">
                <xm:f>0</xm:f>
              </x14:cfvo>
              <x14:cfvo type="num" gte="0">
                <xm:f>0</xm:f>
              </x14:cfvo>
              <x14:cfIcon iconSet="3Arrows" iconId="0"/>
              <x14:cfIcon iconSet="3TrafficLights1" iconId="1"/>
              <x14:cfIcon iconSet="3Arrows" iconId="2"/>
            </x14:iconSet>
          </x14:cfRule>
          <xm:sqref>I56</xm:sqref>
        </x14:conditionalFormatting>
        <x14:conditionalFormatting xmlns:xm="http://schemas.microsoft.com/office/excel/2006/main">
          <x14:cfRule type="iconSet" priority="227" id="{EF0B95A3-BB08-4653-B848-E9361D7B6D15}">
            <x14:iconSet iconSet="3Arrows" custom="1">
              <x14:cfvo type="percent">
                <xm:f>0</xm:f>
              </x14:cfvo>
              <x14:cfvo type="num">
                <xm:f>0</xm:f>
              </x14:cfvo>
              <x14:cfvo type="num" gte="0">
                <xm:f>0</xm:f>
              </x14:cfvo>
              <x14:cfIcon iconSet="3Arrows" iconId="0"/>
              <x14:cfIcon iconSet="3TrafficLights1" iconId="1"/>
              <x14:cfIcon iconSet="3Arrows" iconId="2"/>
            </x14:iconSet>
          </x14:cfRule>
          <xm:sqref>I56</xm:sqref>
        </x14:conditionalFormatting>
        <x14:conditionalFormatting xmlns:xm="http://schemas.microsoft.com/office/excel/2006/main">
          <x14:cfRule type="iconSet" priority="226" id="{403EC939-1C10-4202-BDE8-28C25DC30294}">
            <x14:iconSet iconSet="3Arrows" custom="1">
              <x14:cfvo type="percent">
                <xm:f>0</xm:f>
              </x14:cfvo>
              <x14:cfvo type="num">
                <xm:f>0</xm:f>
              </x14:cfvo>
              <x14:cfvo type="num" gte="0">
                <xm:f>0</xm:f>
              </x14:cfvo>
              <x14:cfIcon iconSet="3Arrows" iconId="0"/>
              <x14:cfIcon iconSet="3TrafficLights1" iconId="1"/>
              <x14:cfIcon iconSet="3Arrows" iconId="2"/>
            </x14:iconSet>
          </x14:cfRule>
          <xm:sqref>I58</xm:sqref>
        </x14:conditionalFormatting>
        <x14:conditionalFormatting xmlns:xm="http://schemas.microsoft.com/office/excel/2006/main">
          <x14:cfRule type="iconSet" priority="225" id="{D5F0EB90-E453-42A8-A31E-E5C8D7765996}">
            <x14:iconSet iconSet="3Arrows" custom="1">
              <x14:cfvo type="percent">
                <xm:f>0</xm:f>
              </x14:cfvo>
              <x14:cfvo type="num">
                <xm:f>0</xm:f>
              </x14:cfvo>
              <x14:cfvo type="num" gte="0">
                <xm:f>0</xm:f>
              </x14:cfvo>
              <x14:cfIcon iconSet="3Arrows" iconId="0"/>
              <x14:cfIcon iconSet="3TrafficLights1" iconId="1"/>
              <x14:cfIcon iconSet="3Arrows" iconId="2"/>
            </x14:iconSet>
          </x14:cfRule>
          <xm:sqref>I57</xm:sqref>
        </x14:conditionalFormatting>
        <x14:conditionalFormatting xmlns:xm="http://schemas.microsoft.com/office/excel/2006/main">
          <x14:cfRule type="iconSet" priority="224" id="{5FBBEF01-E805-4DCA-8FE0-2D9303949168}">
            <x14:iconSet iconSet="3Arrows" custom="1">
              <x14:cfvo type="percent">
                <xm:f>0</xm:f>
              </x14:cfvo>
              <x14:cfvo type="num">
                <xm:f>0</xm:f>
              </x14:cfvo>
              <x14:cfvo type="num" gte="0">
                <xm:f>0</xm:f>
              </x14:cfvo>
              <x14:cfIcon iconSet="3Arrows" iconId="0"/>
              <x14:cfIcon iconSet="3TrafficLights1" iconId="1"/>
              <x14:cfIcon iconSet="3Arrows" iconId="2"/>
            </x14:iconSet>
          </x14:cfRule>
          <xm:sqref>I57</xm:sqref>
        </x14:conditionalFormatting>
        <x14:conditionalFormatting xmlns:xm="http://schemas.microsoft.com/office/excel/2006/main">
          <x14:cfRule type="iconSet" priority="223" id="{7E4CFE5E-BEF2-4607-8879-1BAFD782C382}">
            <x14:iconSet iconSet="3Arrows" custom="1">
              <x14:cfvo type="percent">
                <xm:f>0</xm:f>
              </x14:cfvo>
              <x14:cfvo type="num">
                <xm:f>0</xm:f>
              </x14:cfvo>
              <x14:cfvo type="num" gte="0">
                <xm:f>0</xm:f>
              </x14:cfvo>
              <x14:cfIcon iconSet="3Arrows" iconId="0"/>
              <x14:cfIcon iconSet="3TrafficLights1" iconId="1"/>
              <x14:cfIcon iconSet="3Arrows" iconId="2"/>
            </x14:iconSet>
          </x14:cfRule>
          <xm:sqref>I66</xm:sqref>
        </x14:conditionalFormatting>
        <x14:conditionalFormatting xmlns:xm="http://schemas.microsoft.com/office/excel/2006/main">
          <x14:cfRule type="iconSet" priority="222" id="{25B5433B-C759-4E3B-9FF0-80A850B83E9E}">
            <x14:iconSet iconSet="3Arrows" custom="1">
              <x14:cfvo type="percent">
                <xm:f>0</xm:f>
              </x14:cfvo>
              <x14:cfvo type="num">
                <xm:f>0</xm:f>
              </x14:cfvo>
              <x14:cfvo type="num" gte="0">
                <xm:f>0</xm:f>
              </x14:cfvo>
              <x14:cfIcon iconSet="3Arrows" iconId="0"/>
              <x14:cfIcon iconSet="3TrafficLights1" iconId="1"/>
              <x14:cfIcon iconSet="3Arrows" iconId="2"/>
            </x14:iconSet>
          </x14:cfRule>
          <xm:sqref>I65</xm:sqref>
        </x14:conditionalFormatting>
        <x14:conditionalFormatting xmlns:xm="http://schemas.microsoft.com/office/excel/2006/main">
          <x14:cfRule type="iconSet" priority="221" id="{57A82BAC-6D65-4488-A000-32FC01F5ED2B}">
            <x14:iconSet iconSet="3Arrows" custom="1">
              <x14:cfvo type="percent">
                <xm:f>0</xm:f>
              </x14:cfvo>
              <x14:cfvo type="num">
                <xm:f>0</xm:f>
              </x14:cfvo>
              <x14:cfvo type="num" gte="0">
                <xm:f>0</xm:f>
              </x14:cfvo>
              <x14:cfIcon iconSet="3Arrows" iconId="0"/>
              <x14:cfIcon iconSet="3TrafficLights1" iconId="1"/>
              <x14:cfIcon iconSet="3Arrows" iconId="2"/>
            </x14:iconSet>
          </x14:cfRule>
          <xm:sqref>I65</xm:sqref>
        </x14:conditionalFormatting>
        <x14:conditionalFormatting xmlns:xm="http://schemas.microsoft.com/office/excel/2006/main">
          <x14:cfRule type="iconSet" priority="220" id="{46824143-A5B6-4E16-9D66-4E78D2316180}">
            <x14:iconSet iconSet="3Arrows" custom="1">
              <x14:cfvo type="percent">
                <xm:f>0</xm:f>
              </x14:cfvo>
              <x14:cfvo type="num">
                <xm:f>0</xm:f>
              </x14:cfvo>
              <x14:cfvo type="num" gte="0">
                <xm:f>0</xm:f>
              </x14:cfvo>
              <x14:cfIcon iconSet="3Arrows" iconId="0"/>
              <x14:cfIcon iconSet="3TrafficLights1" iconId="1"/>
              <x14:cfIcon iconSet="3Arrows" iconId="2"/>
            </x14:iconSet>
          </x14:cfRule>
          <xm:sqref>I59</xm:sqref>
        </x14:conditionalFormatting>
        <x14:conditionalFormatting xmlns:xm="http://schemas.microsoft.com/office/excel/2006/main">
          <x14:cfRule type="iconSet" priority="219" id="{3A15BF57-3A7D-4474-9818-5A96A9B359D6}">
            <x14:iconSet iconSet="3Arrows" custom="1">
              <x14:cfvo type="percent">
                <xm:f>0</xm:f>
              </x14:cfvo>
              <x14:cfvo type="num">
                <xm:f>0</xm:f>
              </x14:cfvo>
              <x14:cfvo type="num" gte="0">
                <xm:f>0</xm:f>
              </x14:cfvo>
              <x14:cfIcon iconSet="3Arrows" iconId="0"/>
              <x14:cfIcon iconSet="3TrafficLights1" iconId="1"/>
              <x14:cfIcon iconSet="3Arrows" iconId="2"/>
            </x14:iconSet>
          </x14:cfRule>
          <xm:sqref>I60</xm:sqref>
        </x14:conditionalFormatting>
        <x14:conditionalFormatting xmlns:xm="http://schemas.microsoft.com/office/excel/2006/main">
          <x14:cfRule type="iconSet" priority="218" id="{E2215D34-9AB9-41B8-AA12-F0C85B4E5E64}">
            <x14:iconSet iconSet="3Arrows" custom="1">
              <x14:cfvo type="percent">
                <xm:f>0</xm:f>
              </x14:cfvo>
              <x14:cfvo type="num">
                <xm:f>0</xm:f>
              </x14:cfvo>
              <x14:cfvo type="num" gte="0">
                <xm:f>0</xm:f>
              </x14:cfvo>
              <x14:cfIcon iconSet="3Arrows" iconId="0"/>
              <x14:cfIcon iconSet="3TrafficLights1" iconId="1"/>
              <x14:cfIcon iconSet="3Arrows" iconId="2"/>
            </x14:iconSet>
          </x14:cfRule>
          <xm:sqref>I63</xm:sqref>
        </x14:conditionalFormatting>
        <x14:conditionalFormatting xmlns:xm="http://schemas.microsoft.com/office/excel/2006/main">
          <x14:cfRule type="iconSet" priority="217" id="{51502FBA-3B13-4E8F-BB2A-FBC5535DBFF2}">
            <x14:iconSet iconSet="3Arrows" custom="1">
              <x14:cfvo type="percent">
                <xm:f>0</xm:f>
              </x14:cfvo>
              <x14:cfvo type="num">
                <xm:f>0</xm:f>
              </x14:cfvo>
              <x14:cfvo type="num" gte="0">
                <xm:f>0</xm:f>
              </x14:cfvo>
              <x14:cfIcon iconSet="3Arrows" iconId="0"/>
              <x14:cfIcon iconSet="3TrafficLights1" iconId="1"/>
              <x14:cfIcon iconSet="3Arrows" iconId="2"/>
            </x14:iconSet>
          </x14:cfRule>
          <xm:sqref>I62</xm:sqref>
        </x14:conditionalFormatting>
        <x14:conditionalFormatting xmlns:xm="http://schemas.microsoft.com/office/excel/2006/main">
          <x14:cfRule type="iconSet" priority="216" id="{AF885D9C-F9E9-465B-87AA-50B31E7DDCD0}">
            <x14:iconSet iconSet="3Arrows" custom="1">
              <x14:cfvo type="percent">
                <xm:f>0</xm:f>
              </x14:cfvo>
              <x14:cfvo type="num">
                <xm:f>0</xm:f>
              </x14:cfvo>
              <x14:cfvo type="num" gte="0">
                <xm:f>0</xm:f>
              </x14:cfvo>
              <x14:cfIcon iconSet="3Arrows" iconId="0"/>
              <x14:cfIcon iconSet="3TrafficLights1" iconId="1"/>
              <x14:cfIcon iconSet="3Arrows" iconId="2"/>
            </x14:iconSet>
          </x14:cfRule>
          <xm:sqref>I61</xm:sqref>
        </x14:conditionalFormatting>
        <x14:conditionalFormatting xmlns:xm="http://schemas.microsoft.com/office/excel/2006/main">
          <x14:cfRule type="iconSet" priority="215" id="{9DCC1255-8523-4B4F-8EF8-3F0733B1E80C}">
            <x14:iconSet iconSet="3Arrows" custom="1">
              <x14:cfvo type="percent">
                <xm:f>0</xm:f>
              </x14:cfvo>
              <x14:cfvo type="num">
                <xm:f>0</xm:f>
              </x14:cfvo>
              <x14:cfvo type="num" gte="0">
                <xm:f>0</xm:f>
              </x14:cfvo>
              <x14:cfIcon iconSet="3Arrows" iconId="0"/>
              <x14:cfIcon iconSet="3TrafficLights1" iconId="1"/>
              <x14:cfIcon iconSet="3Arrows" iconId="2"/>
            </x14:iconSet>
          </x14:cfRule>
          <xm:sqref>I61</xm:sqref>
        </x14:conditionalFormatting>
        <x14:conditionalFormatting xmlns:xm="http://schemas.microsoft.com/office/excel/2006/main">
          <x14:cfRule type="iconSet" priority="214" id="{5DFD6AC6-3155-4A3A-B293-5B0BFF97776A}">
            <x14:iconSet iconSet="3Arrows" custom="1">
              <x14:cfvo type="percent">
                <xm:f>0</xm:f>
              </x14:cfvo>
              <x14:cfvo type="num">
                <xm:f>0</xm:f>
              </x14:cfvo>
              <x14:cfvo type="num" gte="0">
                <xm:f>0</xm:f>
              </x14:cfvo>
              <x14:cfIcon iconSet="3Arrows" iconId="0"/>
              <x14:cfIcon iconSet="3TrafficLights1" iconId="1"/>
              <x14:cfIcon iconSet="3Arrows" iconId="2"/>
            </x14:iconSet>
          </x14:cfRule>
          <xm:sqref>I64</xm:sqref>
        </x14:conditionalFormatting>
        <x14:conditionalFormatting xmlns:xm="http://schemas.microsoft.com/office/excel/2006/main">
          <x14:cfRule type="iconSet" priority="213" id="{7C40B920-5400-4780-8473-6EE6267E3F36}">
            <x14:iconSet iconSet="3Arrows" custom="1">
              <x14:cfvo type="percent">
                <xm:f>0</xm:f>
              </x14:cfvo>
              <x14:cfvo type="num">
                <xm:f>0</xm:f>
              </x14:cfvo>
              <x14:cfvo type="num" gte="0">
                <xm:f>0</xm:f>
              </x14:cfvo>
              <x14:cfIcon iconSet="3Arrows" iconId="0"/>
              <x14:cfIcon iconSet="3TrafficLights1" iconId="1"/>
              <x14:cfIcon iconSet="3Arrows" iconId="2"/>
            </x14:iconSet>
          </x14:cfRule>
          <xm:sqref>I68</xm:sqref>
        </x14:conditionalFormatting>
        <x14:conditionalFormatting xmlns:xm="http://schemas.microsoft.com/office/excel/2006/main">
          <x14:cfRule type="iconSet" priority="212" id="{FB6A88E0-7376-4B50-8D4B-CCB55D3740B2}">
            <x14:iconSet iconSet="3Arrows" custom="1">
              <x14:cfvo type="percent">
                <xm:f>0</xm:f>
              </x14:cfvo>
              <x14:cfvo type="num">
                <xm:f>0</xm:f>
              </x14:cfvo>
              <x14:cfvo type="num" gte="0">
                <xm:f>0</xm:f>
              </x14:cfvo>
              <x14:cfIcon iconSet="3Arrows" iconId="0"/>
              <x14:cfIcon iconSet="3TrafficLights1" iconId="1"/>
              <x14:cfIcon iconSet="3Arrows" iconId="2"/>
            </x14:iconSet>
          </x14:cfRule>
          <xm:sqref>I67</xm:sqref>
        </x14:conditionalFormatting>
        <x14:conditionalFormatting xmlns:xm="http://schemas.microsoft.com/office/excel/2006/main">
          <x14:cfRule type="iconSet" priority="211" id="{22D68DB5-5EE0-43AD-B01B-B5C6F65CEADF}">
            <x14:iconSet iconSet="3Arrows" custom="1">
              <x14:cfvo type="percent">
                <xm:f>0</xm:f>
              </x14:cfvo>
              <x14:cfvo type="num">
                <xm:f>0</xm:f>
              </x14:cfvo>
              <x14:cfvo type="num" gte="0">
                <xm:f>0</xm:f>
              </x14:cfvo>
              <x14:cfIcon iconSet="3Arrows" iconId="0"/>
              <x14:cfIcon iconSet="3TrafficLights1" iconId="1"/>
              <x14:cfIcon iconSet="3Arrows" iconId="2"/>
            </x14:iconSet>
          </x14:cfRule>
          <xm:sqref>I67</xm:sqref>
        </x14:conditionalFormatting>
        <x14:conditionalFormatting xmlns:xm="http://schemas.microsoft.com/office/excel/2006/main">
          <x14:cfRule type="iconSet" priority="210" id="{F5DC0027-2915-4826-B186-F9EE1483CBC2}">
            <x14:iconSet iconSet="3Arrows" custom="1">
              <x14:cfvo type="percent">
                <xm:f>0</xm:f>
              </x14:cfvo>
              <x14:cfvo type="num">
                <xm:f>0</xm:f>
              </x14:cfvo>
              <x14:cfvo type="num" gte="0">
                <xm:f>0</xm:f>
              </x14:cfvo>
              <x14:cfIcon iconSet="3Arrows" iconId="0"/>
              <x14:cfIcon iconSet="3TrafficLights1" iconId="1"/>
              <x14:cfIcon iconSet="3Arrows" iconId="2"/>
            </x14:iconSet>
          </x14:cfRule>
          <xm:sqref>I69</xm:sqref>
        </x14:conditionalFormatting>
        <x14:conditionalFormatting xmlns:xm="http://schemas.microsoft.com/office/excel/2006/main">
          <x14:cfRule type="iconSet" priority="209" id="{2FD1FAA0-DBE0-4346-B98C-7350F51B6F2F}">
            <x14:iconSet iconSet="3Arrows" custom="1">
              <x14:cfvo type="percent">
                <xm:f>0</xm:f>
              </x14:cfvo>
              <x14:cfvo type="num">
                <xm:f>0</xm:f>
              </x14:cfvo>
              <x14:cfvo type="num" gte="0">
                <xm:f>0</xm:f>
              </x14:cfvo>
              <x14:cfIcon iconSet="3Arrows" iconId="0"/>
              <x14:cfIcon iconSet="3TrafficLights1" iconId="1"/>
              <x14:cfIcon iconSet="3Arrows" iconId="2"/>
            </x14:iconSet>
          </x14:cfRule>
          <xm:sqref>I69</xm:sqref>
        </x14:conditionalFormatting>
        <x14:conditionalFormatting xmlns:xm="http://schemas.microsoft.com/office/excel/2006/main">
          <x14:cfRule type="iconSet" priority="208" id="{BE7E4795-2527-4E8C-9DD1-A34CC40F7A6F}">
            <x14:iconSet iconSet="3Arrows" custom="1">
              <x14:cfvo type="percent">
                <xm:f>0</xm:f>
              </x14:cfvo>
              <x14:cfvo type="num">
                <xm:f>0</xm:f>
              </x14:cfvo>
              <x14:cfvo type="num" gte="0">
                <xm:f>0</xm:f>
              </x14:cfvo>
              <x14:cfIcon iconSet="3Arrows" iconId="0"/>
              <x14:cfIcon iconSet="3TrafficLights1" iconId="1"/>
              <x14:cfIcon iconSet="3Arrows" iconId="2"/>
            </x14:iconSet>
          </x14:cfRule>
          <xm:sqref>I70</xm:sqref>
        </x14:conditionalFormatting>
        <x14:conditionalFormatting xmlns:xm="http://schemas.microsoft.com/office/excel/2006/main">
          <x14:cfRule type="iconSet" priority="207" id="{1B7DE0CC-3A50-4F80-8EF9-DEC2CBDC0085}">
            <x14:iconSet iconSet="3Arrows" custom="1">
              <x14:cfvo type="percent">
                <xm:f>0</xm:f>
              </x14:cfvo>
              <x14:cfvo type="num">
                <xm:f>0</xm:f>
              </x14:cfvo>
              <x14:cfvo type="num" gte="0">
                <xm:f>0</xm:f>
              </x14:cfvo>
              <x14:cfIcon iconSet="3Arrows" iconId="0"/>
              <x14:cfIcon iconSet="3TrafficLights1" iconId="1"/>
              <x14:cfIcon iconSet="3Arrows" iconId="2"/>
            </x14:iconSet>
          </x14:cfRule>
          <xm:sqref>I70</xm:sqref>
        </x14:conditionalFormatting>
        <x14:conditionalFormatting xmlns:xm="http://schemas.microsoft.com/office/excel/2006/main">
          <x14:cfRule type="iconSet" priority="206" id="{6F326259-5EE7-4021-95A8-EBF04C82AEA8}">
            <x14:iconSet iconSet="3Arrows" custom="1">
              <x14:cfvo type="percent">
                <xm:f>0</xm:f>
              </x14:cfvo>
              <x14:cfvo type="num">
                <xm:f>0</xm:f>
              </x14:cfvo>
              <x14:cfvo type="num" gte="0">
                <xm:f>0</xm:f>
              </x14:cfvo>
              <x14:cfIcon iconSet="3Arrows" iconId="0"/>
              <x14:cfIcon iconSet="3TrafficLights1" iconId="1"/>
              <x14:cfIcon iconSet="3Arrows" iconId="2"/>
            </x14:iconSet>
          </x14:cfRule>
          <xm:sqref>I72</xm:sqref>
        </x14:conditionalFormatting>
        <x14:conditionalFormatting xmlns:xm="http://schemas.microsoft.com/office/excel/2006/main">
          <x14:cfRule type="iconSet" priority="205" id="{7D699F0E-8EB3-470A-8945-2C3D1DE99570}">
            <x14:iconSet iconSet="3Arrows" custom="1">
              <x14:cfvo type="percent">
                <xm:f>0</xm:f>
              </x14:cfvo>
              <x14:cfvo type="num">
                <xm:f>0</xm:f>
              </x14:cfvo>
              <x14:cfvo type="num" gte="0">
                <xm:f>0</xm:f>
              </x14:cfvo>
              <x14:cfIcon iconSet="3Arrows" iconId="0"/>
              <x14:cfIcon iconSet="3TrafficLights1" iconId="1"/>
              <x14:cfIcon iconSet="3Arrows" iconId="2"/>
            </x14:iconSet>
          </x14:cfRule>
          <xm:sqref>I71</xm:sqref>
        </x14:conditionalFormatting>
        <x14:conditionalFormatting xmlns:xm="http://schemas.microsoft.com/office/excel/2006/main">
          <x14:cfRule type="iconSet" priority="204" id="{3364ECBF-48B8-43CE-9FB5-51186A4E1204}">
            <x14:iconSet iconSet="3Arrows" custom="1">
              <x14:cfvo type="percent">
                <xm:f>0</xm:f>
              </x14:cfvo>
              <x14:cfvo type="num">
                <xm:f>0</xm:f>
              </x14:cfvo>
              <x14:cfvo type="num" gte="0">
                <xm:f>0</xm:f>
              </x14:cfvo>
              <x14:cfIcon iconSet="3Arrows" iconId="0"/>
              <x14:cfIcon iconSet="3TrafficLights1" iconId="1"/>
              <x14:cfIcon iconSet="3Arrows" iconId="2"/>
            </x14:iconSet>
          </x14:cfRule>
          <xm:sqref>I71</xm:sqref>
        </x14:conditionalFormatting>
        <x14:conditionalFormatting xmlns:xm="http://schemas.microsoft.com/office/excel/2006/main">
          <x14:cfRule type="iconSet" priority="229" id="{24DE57D7-CA86-4108-BCDF-6AE69B1C1FF7}">
            <x14:iconSet iconSet="3Arrows" custom="1">
              <x14:cfvo type="percent">
                <xm:f>0</xm:f>
              </x14:cfvo>
              <x14:cfvo type="num">
                <xm:f>0</xm:f>
              </x14:cfvo>
              <x14:cfvo type="num" gte="0">
                <xm:f>0</xm:f>
              </x14:cfvo>
              <x14:cfIcon iconSet="3Arrows" iconId="0"/>
              <x14:cfIcon iconSet="3TrafficLights1" iconId="1"/>
              <x14:cfIcon iconSet="3Arrows" iconId="2"/>
            </x14:iconSet>
          </x14:cfRule>
          <xm:sqref>I73</xm:sqref>
        </x14:conditionalFormatting>
        <x14:conditionalFormatting xmlns:xm="http://schemas.microsoft.com/office/excel/2006/main">
          <x14:cfRule type="iconSet" priority="230" id="{96F0C1F1-A754-4D7E-8135-B5E271AF3E59}">
            <x14:iconSet iconSet="3Arrows" custom="1">
              <x14:cfvo type="percent">
                <xm:f>0</xm:f>
              </x14:cfvo>
              <x14:cfvo type="num">
                <xm:f>0</xm:f>
              </x14:cfvo>
              <x14:cfvo type="num" gte="0">
                <xm:f>0</xm:f>
              </x14:cfvo>
              <x14:cfIcon iconSet="3Arrows" iconId="0"/>
              <x14:cfIcon iconSet="3TrafficLights1" iconId="1"/>
              <x14:cfIcon iconSet="3Arrows" iconId="2"/>
            </x14:iconSet>
          </x14:cfRule>
          <xm:sqref>I74</xm:sqref>
        </x14:conditionalFormatting>
        <x14:conditionalFormatting xmlns:xm="http://schemas.microsoft.com/office/excel/2006/main">
          <x14:cfRule type="iconSet" priority="203" id="{72F5A868-1486-47A7-A8CC-B5D97853D44F}">
            <x14:iconSet iconSet="3Arrows" custom="1">
              <x14:cfvo type="percent">
                <xm:f>0</xm:f>
              </x14:cfvo>
              <x14:cfvo type="num">
                <xm:f>0</xm:f>
              </x14:cfvo>
              <x14:cfvo type="num" gte="0">
                <xm:f>0</xm:f>
              </x14:cfvo>
              <x14:cfIcon iconSet="3Arrows" iconId="0"/>
              <x14:cfIcon iconSet="3TrafficLights1" iconId="1"/>
              <x14:cfIcon iconSet="3Arrows" iconId="2"/>
            </x14:iconSet>
          </x14:cfRule>
          <xm:sqref>I78</xm:sqref>
        </x14:conditionalFormatting>
        <x14:conditionalFormatting xmlns:xm="http://schemas.microsoft.com/office/excel/2006/main">
          <x14:cfRule type="iconSet" priority="202" id="{53F6EEBC-7C3E-492E-B7BB-1EDC0F22ECB8}">
            <x14:iconSet iconSet="3Arrows" custom="1">
              <x14:cfvo type="percent">
                <xm:f>0</xm:f>
              </x14:cfvo>
              <x14:cfvo type="num">
                <xm:f>0</xm:f>
              </x14:cfvo>
              <x14:cfvo type="num" gte="0">
                <xm:f>0</xm:f>
              </x14:cfvo>
              <x14:cfIcon iconSet="3Arrows" iconId="0"/>
              <x14:cfIcon iconSet="3TrafficLights1" iconId="1"/>
              <x14:cfIcon iconSet="3Arrows" iconId="2"/>
            </x14:iconSet>
          </x14:cfRule>
          <xm:sqref>I77</xm:sqref>
        </x14:conditionalFormatting>
        <x14:conditionalFormatting xmlns:xm="http://schemas.microsoft.com/office/excel/2006/main">
          <x14:cfRule type="iconSet" priority="201" id="{F36BB3F5-A8E7-4F0E-B4B1-C53F205A4C2D}">
            <x14:iconSet iconSet="3Arrows" custom="1">
              <x14:cfvo type="percent">
                <xm:f>0</xm:f>
              </x14:cfvo>
              <x14:cfvo type="num">
                <xm:f>0</xm:f>
              </x14:cfvo>
              <x14:cfvo type="num" gte="0">
                <xm:f>0</xm:f>
              </x14:cfvo>
              <x14:cfIcon iconSet="3Arrows" iconId="0"/>
              <x14:cfIcon iconSet="3TrafficLights1" iconId="1"/>
              <x14:cfIcon iconSet="3Arrows" iconId="2"/>
            </x14:iconSet>
          </x14:cfRule>
          <xm:sqref>I77</xm:sqref>
        </x14:conditionalFormatting>
        <x14:conditionalFormatting xmlns:xm="http://schemas.microsoft.com/office/excel/2006/main">
          <x14:cfRule type="iconSet" priority="200" id="{808512E9-A2CB-4BD2-90FE-2697B18B523C}">
            <x14:iconSet iconSet="3Arrows" custom="1">
              <x14:cfvo type="percent">
                <xm:f>0</xm:f>
              </x14:cfvo>
              <x14:cfvo type="num">
                <xm:f>0</xm:f>
              </x14:cfvo>
              <x14:cfvo type="num" gte="0">
                <xm:f>0</xm:f>
              </x14:cfvo>
              <x14:cfIcon iconSet="3Arrows" iconId="0"/>
              <x14:cfIcon iconSet="3TrafficLights1" iconId="1"/>
              <x14:cfIcon iconSet="3Arrows" iconId="2"/>
            </x14:iconSet>
          </x14:cfRule>
          <xm:sqref>I75</xm:sqref>
        </x14:conditionalFormatting>
        <x14:conditionalFormatting xmlns:xm="http://schemas.microsoft.com/office/excel/2006/main">
          <x14:cfRule type="iconSet" priority="199" id="{E96B0CA0-44FC-4878-81A8-5755E1EE426F}">
            <x14:iconSet iconSet="3Arrows" custom="1">
              <x14:cfvo type="percent">
                <xm:f>0</xm:f>
              </x14:cfvo>
              <x14:cfvo type="num">
                <xm:f>0</xm:f>
              </x14:cfvo>
              <x14:cfvo type="num" gte="0">
                <xm:f>0</xm:f>
              </x14:cfvo>
              <x14:cfIcon iconSet="3Arrows" iconId="0"/>
              <x14:cfIcon iconSet="3TrafficLights1" iconId="1"/>
              <x14:cfIcon iconSet="3Arrows" iconId="2"/>
            </x14:iconSet>
          </x14:cfRule>
          <xm:sqref>I76</xm:sqref>
        </x14:conditionalFormatting>
        <x14:conditionalFormatting xmlns:xm="http://schemas.microsoft.com/office/excel/2006/main">
          <x14:cfRule type="iconSet" priority="152" id="{9A23340C-D22F-4DFD-A4D4-2BE330DDB17D}">
            <x14:iconSet iconSet="3Arrows" custom="1">
              <x14:cfvo type="percent">
                <xm:f>0</xm:f>
              </x14:cfvo>
              <x14:cfvo type="num">
                <xm:f>0</xm:f>
              </x14:cfvo>
              <x14:cfvo type="num" gte="0">
                <xm:f>0</xm:f>
              </x14:cfvo>
              <x14:cfIcon iconSet="3Arrows" iconId="0"/>
              <x14:cfIcon iconSet="3TrafficLights1" iconId="1"/>
              <x14:cfIcon iconSet="3Arrows" iconId="2"/>
            </x14:iconSet>
          </x14:cfRule>
          <xm:sqref>I79</xm:sqref>
        </x14:conditionalFormatting>
        <x14:conditionalFormatting xmlns:xm="http://schemas.microsoft.com/office/excel/2006/main">
          <x14:cfRule type="iconSet" priority="149" id="{F9C2C141-B781-4D77-9A4C-58D634F1E4A7}">
            <x14:iconSet iconSet="3Arrows" custom="1">
              <x14:cfvo type="percent">
                <xm:f>0</xm:f>
              </x14:cfvo>
              <x14:cfvo type="num">
                <xm:f>0</xm:f>
              </x14:cfvo>
              <x14:cfvo type="num" gte="0">
                <xm:f>0</xm:f>
              </x14:cfvo>
              <x14:cfIcon iconSet="3Arrows" iconId="0"/>
              <x14:cfIcon iconSet="3TrafficLights1" iconId="1"/>
              <x14:cfIcon iconSet="3Arrows" iconId="2"/>
            </x14:iconSet>
          </x14:cfRule>
          <xm:sqref>I80</xm:sqref>
        </x14:conditionalFormatting>
        <x14:conditionalFormatting xmlns:xm="http://schemas.microsoft.com/office/excel/2006/main">
          <x14:cfRule type="iconSet" priority="148" id="{CC5A3D3D-78D5-46A5-92EC-787591B87BD7}">
            <x14:iconSet iconSet="3Arrows" custom="1">
              <x14:cfvo type="percent">
                <xm:f>0</xm:f>
              </x14:cfvo>
              <x14:cfvo type="num">
                <xm:f>0</xm:f>
              </x14:cfvo>
              <x14:cfvo type="num" gte="0">
                <xm:f>0</xm:f>
              </x14:cfvo>
              <x14:cfIcon iconSet="3Arrows" iconId="0"/>
              <x14:cfIcon iconSet="3TrafficLights1" iconId="1"/>
              <x14:cfIcon iconSet="3Arrows" iconId="2"/>
            </x14:iconSet>
          </x14:cfRule>
          <xm:sqref>I80</xm:sqref>
        </x14:conditionalFormatting>
        <x14:conditionalFormatting xmlns:xm="http://schemas.microsoft.com/office/excel/2006/main">
          <x14:cfRule type="iconSet" priority="147" id="{28E3DE8F-80EB-404A-9EF3-848A62EAD090}">
            <x14:iconSet iconSet="3Arrows" custom="1">
              <x14:cfvo type="percent">
                <xm:f>0</xm:f>
              </x14:cfvo>
              <x14:cfvo type="num">
                <xm:f>0</xm:f>
              </x14:cfvo>
              <x14:cfvo type="num" gte="0">
                <xm:f>0</xm:f>
              </x14:cfvo>
              <x14:cfIcon iconSet="3Arrows" iconId="0"/>
              <x14:cfIcon iconSet="3TrafficLights1" iconId="1"/>
              <x14:cfIcon iconSet="3Arrows" iconId="2"/>
            </x14:iconSet>
          </x14:cfRule>
          <xm:sqref>I82</xm:sqref>
        </x14:conditionalFormatting>
        <x14:conditionalFormatting xmlns:xm="http://schemas.microsoft.com/office/excel/2006/main">
          <x14:cfRule type="iconSet" priority="146" id="{BCA77C85-607F-4321-81A7-77896A4B4169}">
            <x14:iconSet iconSet="3Arrows" custom="1">
              <x14:cfvo type="percent">
                <xm:f>0</xm:f>
              </x14:cfvo>
              <x14:cfvo type="num">
                <xm:f>0</xm:f>
              </x14:cfvo>
              <x14:cfvo type="num" gte="0">
                <xm:f>0</xm:f>
              </x14:cfvo>
              <x14:cfIcon iconSet="3Arrows" iconId="0"/>
              <x14:cfIcon iconSet="3TrafficLights1" iconId="1"/>
              <x14:cfIcon iconSet="3Arrows" iconId="2"/>
            </x14:iconSet>
          </x14:cfRule>
          <xm:sqref>I81</xm:sqref>
        </x14:conditionalFormatting>
        <x14:conditionalFormatting xmlns:xm="http://schemas.microsoft.com/office/excel/2006/main">
          <x14:cfRule type="iconSet" priority="145" id="{CE805487-F147-4DAE-B105-F3A384B496EF}">
            <x14:iconSet iconSet="3Arrows" custom="1">
              <x14:cfvo type="percent">
                <xm:f>0</xm:f>
              </x14:cfvo>
              <x14:cfvo type="num">
                <xm:f>0</xm:f>
              </x14:cfvo>
              <x14:cfvo type="num" gte="0">
                <xm:f>0</xm:f>
              </x14:cfvo>
              <x14:cfIcon iconSet="3Arrows" iconId="0"/>
              <x14:cfIcon iconSet="3TrafficLights1" iconId="1"/>
              <x14:cfIcon iconSet="3Arrows" iconId="2"/>
            </x14:iconSet>
          </x14:cfRule>
          <xm:sqref>I81</xm:sqref>
        </x14:conditionalFormatting>
        <x14:conditionalFormatting xmlns:xm="http://schemas.microsoft.com/office/excel/2006/main">
          <x14:cfRule type="iconSet" priority="141" id="{62B9D1A2-B8D1-4179-9588-095328519887}">
            <x14:iconSet iconSet="3Arrows" custom="1">
              <x14:cfvo type="percent">
                <xm:f>0</xm:f>
              </x14:cfvo>
              <x14:cfvo type="num">
                <xm:f>0</xm:f>
              </x14:cfvo>
              <x14:cfvo type="num" gte="0">
                <xm:f>0</xm:f>
              </x14:cfvo>
              <x14:cfIcon iconSet="3Arrows" iconId="0"/>
              <x14:cfIcon iconSet="3TrafficLights1" iconId="1"/>
              <x14:cfIcon iconSet="3Arrows" iconId="2"/>
            </x14:iconSet>
          </x14:cfRule>
          <xm:sqref>I83</xm:sqref>
        </x14:conditionalFormatting>
        <x14:conditionalFormatting xmlns:xm="http://schemas.microsoft.com/office/excel/2006/main">
          <x14:cfRule type="iconSet" priority="140" id="{4A06A3DF-4BB8-4ECE-BDC1-EEEF277A41E8}">
            <x14:iconSet iconSet="3Arrows" custom="1">
              <x14:cfvo type="percent">
                <xm:f>0</xm:f>
              </x14:cfvo>
              <x14:cfvo type="num">
                <xm:f>0</xm:f>
              </x14:cfvo>
              <x14:cfvo type="num" gte="0">
                <xm:f>0</xm:f>
              </x14:cfvo>
              <x14:cfIcon iconSet="3Arrows" iconId="0"/>
              <x14:cfIcon iconSet="3TrafficLights1" iconId="1"/>
              <x14:cfIcon iconSet="3Arrows" iconId="2"/>
            </x14:iconSet>
          </x14:cfRule>
          <xm:sqref>I84</xm:sqref>
        </x14:conditionalFormatting>
        <x14:conditionalFormatting xmlns:xm="http://schemas.microsoft.com/office/excel/2006/main">
          <x14:cfRule type="iconSet" priority="139" id="{9FB715AA-5012-44BB-AB13-E741D3CEC339}">
            <x14:iconSet iconSet="3Arrows" custom="1">
              <x14:cfvo type="percent">
                <xm:f>0</xm:f>
              </x14:cfvo>
              <x14:cfvo type="num">
                <xm:f>0</xm:f>
              </x14:cfvo>
              <x14:cfvo type="num" gte="0">
                <xm:f>0</xm:f>
              </x14:cfvo>
              <x14:cfIcon iconSet="3Arrows" iconId="0"/>
              <x14:cfIcon iconSet="3TrafficLights1" iconId="1"/>
              <x14:cfIcon iconSet="3Arrows" iconId="2"/>
            </x14:iconSet>
          </x14:cfRule>
          <xm:sqref>I87</xm:sqref>
        </x14:conditionalFormatting>
        <x14:conditionalFormatting xmlns:xm="http://schemas.microsoft.com/office/excel/2006/main">
          <x14:cfRule type="iconSet" priority="138" id="{5836373D-DAFB-4BC5-B62F-CF88000CA446}">
            <x14:iconSet iconSet="3Arrows" custom="1">
              <x14:cfvo type="percent">
                <xm:f>0</xm:f>
              </x14:cfvo>
              <x14:cfvo type="num">
                <xm:f>0</xm:f>
              </x14:cfvo>
              <x14:cfvo type="num" gte="0">
                <xm:f>0</xm:f>
              </x14:cfvo>
              <x14:cfIcon iconSet="3Arrows" iconId="0"/>
              <x14:cfIcon iconSet="3TrafficLights1" iconId="1"/>
              <x14:cfIcon iconSet="3Arrows" iconId="2"/>
            </x14:iconSet>
          </x14:cfRule>
          <xm:sqref>I86</xm:sqref>
        </x14:conditionalFormatting>
        <x14:conditionalFormatting xmlns:xm="http://schemas.microsoft.com/office/excel/2006/main">
          <x14:cfRule type="iconSet" priority="137" id="{6D75622B-E596-47A2-9735-8C119D6A5BA6}">
            <x14:iconSet iconSet="3Arrows" custom="1">
              <x14:cfvo type="percent">
                <xm:f>0</xm:f>
              </x14:cfvo>
              <x14:cfvo type="num">
                <xm:f>0</xm:f>
              </x14:cfvo>
              <x14:cfvo type="num" gte="0">
                <xm:f>0</xm:f>
              </x14:cfvo>
              <x14:cfIcon iconSet="3Arrows" iconId="0"/>
              <x14:cfIcon iconSet="3TrafficLights1" iconId="1"/>
              <x14:cfIcon iconSet="3Arrows" iconId="2"/>
            </x14:iconSet>
          </x14:cfRule>
          <xm:sqref>I85</xm:sqref>
        </x14:conditionalFormatting>
        <x14:conditionalFormatting xmlns:xm="http://schemas.microsoft.com/office/excel/2006/main">
          <x14:cfRule type="iconSet" priority="136" id="{514CB109-3904-4BFE-83EF-6039298386E3}">
            <x14:iconSet iconSet="3Arrows" custom="1">
              <x14:cfvo type="percent">
                <xm:f>0</xm:f>
              </x14:cfvo>
              <x14:cfvo type="num">
                <xm:f>0</xm:f>
              </x14:cfvo>
              <x14:cfvo type="num" gte="0">
                <xm:f>0</xm:f>
              </x14:cfvo>
              <x14:cfIcon iconSet="3Arrows" iconId="0"/>
              <x14:cfIcon iconSet="3TrafficLights1" iconId="1"/>
              <x14:cfIcon iconSet="3Arrows" iconId="2"/>
            </x14:iconSet>
          </x14:cfRule>
          <xm:sqref>I85</xm:sqref>
        </x14:conditionalFormatting>
        <x14:conditionalFormatting xmlns:xm="http://schemas.microsoft.com/office/excel/2006/main">
          <x14:cfRule type="iconSet" priority="135" id="{77A75F76-9DEA-49AD-8472-9FD9B3D7A4AE}">
            <x14:iconSet iconSet="3Arrows" custom="1">
              <x14:cfvo type="percent">
                <xm:f>0</xm:f>
              </x14:cfvo>
              <x14:cfvo type="num">
                <xm:f>0</xm:f>
              </x14:cfvo>
              <x14:cfvo type="num" gte="0">
                <xm:f>0</xm:f>
              </x14:cfvo>
              <x14:cfIcon iconSet="3Arrows" iconId="0"/>
              <x14:cfIcon iconSet="3TrafficLights1" iconId="1"/>
              <x14:cfIcon iconSet="3Arrows" iconId="2"/>
            </x14:iconSet>
          </x14:cfRule>
          <xm:sqref>I88</xm:sqref>
        </x14:conditionalFormatting>
        <x14:conditionalFormatting xmlns:xm="http://schemas.microsoft.com/office/excel/2006/main">
          <x14:cfRule type="iconSet" priority="1568" id="{08C87EC8-4FC8-4ADC-8E9B-89C0F24B5563}">
            <x14:iconSet iconSet="3Arrows" custom="1">
              <x14:cfvo type="percent">
                <xm:f>0</xm:f>
              </x14:cfvo>
              <x14:cfvo type="num">
                <xm:f>0</xm:f>
              </x14:cfvo>
              <x14:cfvo type="num" gte="0">
                <xm:f>0</xm:f>
              </x14:cfvo>
              <x14:cfIcon iconSet="3Arrows" iconId="0"/>
              <x14:cfIcon iconSet="3TrafficLights1" iconId="1"/>
              <x14:cfIcon iconSet="3Arrows" iconId="2"/>
            </x14:iconSet>
          </x14:cfRule>
          <xm:sqref>I91</xm:sqref>
        </x14:conditionalFormatting>
        <x14:conditionalFormatting xmlns:xm="http://schemas.microsoft.com/office/excel/2006/main">
          <x14:cfRule type="iconSet" priority="1569" id="{CE03EC0D-CB61-4793-8929-3626C99A04EF}">
            <x14:iconSet iconSet="3Arrows" custom="1">
              <x14:cfvo type="percent">
                <xm:f>0</xm:f>
              </x14:cfvo>
              <x14:cfvo type="num">
                <xm:f>0</xm:f>
              </x14:cfvo>
              <x14:cfvo type="num" gte="0">
                <xm:f>0</xm:f>
              </x14:cfvo>
              <x14:cfIcon iconSet="3Arrows" iconId="0"/>
              <x14:cfIcon iconSet="3TrafficLights1" iconId="1"/>
              <x14:cfIcon iconSet="3Arrows" iconId="2"/>
            </x14:iconSet>
          </x14:cfRule>
          <xm:sqref>I92</xm:sqref>
        </x14:conditionalFormatting>
        <x14:conditionalFormatting xmlns:xm="http://schemas.microsoft.com/office/excel/2006/main">
          <x14:cfRule type="iconSet" priority="1571" id="{20407E0F-084B-4EC0-80AA-EBD8924E8707}">
            <x14:iconSet iconSet="3Arrows" custom="1">
              <x14:cfvo type="percent">
                <xm:f>0</xm:f>
              </x14:cfvo>
              <x14:cfvo type="num">
                <xm:f>0</xm:f>
              </x14:cfvo>
              <x14:cfvo type="num" gte="0">
                <xm:f>0</xm:f>
              </x14:cfvo>
              <x14:cfIcon iconSet="3Arrows" iconId="0"/>
              <x14:cfIcon iconSet="3TrafficLights1" iconId="1"/>
              <x14:cfIcon iconSet="3Arrows" iconId="2"/>
            </x14:iconSet>
          </x14:cfRule>
          <xm:sqref>I93</xm:sqref>
        </x14:conditionalFormatting>
        <x14:conditionalFormatting xmlns:xm="http://schemas.microsoft.com/office/excel/2006/main">
          <x14:cfRule type="iconSet" priority="1572" id="{8A4FEC59-2930-4E2E-B5C6-DCF2F146DE8A}">
            <x14:iconSet iconSet="3Arrows" custom="1">
              <x14:cfvo type="percent">
                <xm:f>0</xm:f>
              </x14:cfvo>
              <x14:cfvo type="num">
                <xm:f>0</xm:f>
              </x14:cfvo>
              <x14:cfvo type="num" gte="0">
                <xm:f>0</xm:f>
              </x14:cfvo>
              <x14:cfIcon iconSet="3Arrows" iconId="0"/>
              <x14:cfIcon iconSet="3TrafficLights1" iconId="1"/>
              <x14:cfIcon iconSet="3Arrows" iconId="2"/>
            </x14:iconSet>
          </x14:cfRule>
          <xm:sqref>I90</xm:sqref>
        </x14:conditionalFormatting>
        <x14:conditionalFormatting xmlns:xm="http://schemas.microsoft.com/office/excel/2006/main">
          <x14:cfRule type="iconSet" priority="1573" id="{2F877EB9-3B3D-40FB-A224-469DDF103810}">
            <x14:iconSet iconSet="3Arrows" custom="1">
              <x14:cfvo type="percent">
                <xm:f>0</xm:f>
              </x14:cfvo>
              <x14:cfvo type="num">
                <xm:f>0</xm:f>
              </x14:cfvo>
              <x14:cfvo type="num" gte="0">
                <xm:f>0</xm:f>
              </x14:cfvo>
              <x14:cfIcon iconSet="3Arrows" iconId="0"/>
              <x14:cfIcon iconSet="3TrafficLights1" iconId="1"/>
              <x14:cfIcon iconSet="3Arrows" iconId="2"/>
            </x14:iconSet>
          </x14:cfRule>
          <xm:sqref>I89</xm:sqref>
        </x14:conditionalFormatting>
        <x14:conditionalFormatting xmlns:xm="http://schemas.microsoft.com/office/excel/2006/main">
          <x14:cfRule type="iconSet" priority="54" id="{88C1A077-61CA-7D47-92A5-FB26884C42C9}">
            <x14:iconSet iconSet="3Arrows" custom="1">
              <x14:cfvo type="percent">
                <xm:f>0</xm:f>
              </x14:cfvo>
              <x14:cfvo type="num">
                <xm:f>0</xm:f>
              </x14:cfvo>
              <x14:cfvo type="num" gte="0">
                <xm:f>0</xm:f>
              </x14:cfvo>
              <x14:cfIcon iconSet="3Arrows" iconId="0"/>
              <x14:cfIcon iconSet="3TrafficLights1" iconId="1"/>
              <x14:cfIcon iconSet="3Arrows" iconId="2"/>
            </x14:iconSet>
          </x14:cfRule>
          <xm:sqref>I97</xm:sqref>
        </x14:conditionalFormatting>
        <x14:conditionalFormatting xmlns:xm="http://schemas.microsoft.com/office/excel/2006/main">
          <x14:cfRule type="iconSet" priority="50" id="{91C375E9-0356-994B-9174-44CAAC890F48}">
            <x14:iconSet iconSet="3Arrows" custom="1">
              <x14:cfvo type="percent">
                <xm:f>0</xm:f>
              </x14:cfvo>
              <x14:cfvo type="num">
                <xm:f>0</xm:f>
              </x14:cfvo>
              <x14:cfvo type="num" gte="0">
                <xm:f>0</xm:f>
              </x14:cfvo>
              <x14:cfIcon iconSet="3Arrows" iconId="0"/>
              <x14:cfIcon iconSet="3TrafficLights1" iconId="1"/>
              <x14:cfIcon iconSet="3Arrows" iconId="2"/>
            </x14:iconSet>
          </x14:cfRule>
          <xm:sqref>I98</xm:sqref>
        </x14:conditionalFormatting>
        <x14:conditionalFormatting xmlns:xm="http://schemas.microsoft.com/office/excel/2006/main">
          <x14:cfRule type="iconSet" priority="56" id="{3A312ED1-2982-AD48-BFAE-558033F69018}">
            <x14:iconSet iconSet="3Arrows" custom="1">
              <x14:cfvo type="percent">
                <xm:f>0</xm:f>
              </x14:cfvo>
              <x14:cfvo type="num">
                <xm:f>0</xm:f>
              </x14:cfvo>
              <x14:cfvo type="num" gte="0">
                <xm:f>0</xm:f>
              </x14:cfvo>
              <x14:cfIcon iconSet="3Arrows" iconId="0"/>
              <x14:cfIcon iconSet="3TrafficLights1" iconId="1"/>
              <x14:cfIcon iconSet="3Arrows" iconId="2"/>
            </x14:iconSet>
          </x14:cfRule>
          <xm:sqref>I101</xm:sqref>
        </x14:conditionalFormatting>
        <x14:conditionalFormatting xmlns:xm="http://schemas.microsoft.com/office/excel/2006/main">
          <x14:cfRule type="iconSet" priority="57" id="{C61ADE7E-FCBE-5A40-9691-6CAC989D0EB8}">
            <x14:iconSet iconSet="3Arrows" custom="1">
              <x14:cfvo type="percent">
                <xm:f>0</xm:f>
              </x14:cfvo>
              <x14:cfvo type="num">
                <xm:f>0</xm:f>
              </x14:cfvo>
              <x14:cfvo type="num" gte="0">
                <xm:f>0</xm:f>
              </x14:cfvo>
              <x14:cfIcon iconSet="3Arrows" iconId="0"/>
              <x14:cfIcon iconSet="3TrafficLights1" iconId="1"/>
              <x14:cfIcon iconSet="3Arrows" iconId="2"/>
            </x14:iconSet>
          </x14:cfRule>
          <xm:sqref>I102</xm:sqref>
        </x14:conditionalFormatting>
        <x14:conditionalFormatting xmlns:xm="http://schemas.microsoft.com/office/excel/2006/main">
          <x14:cfRule type="iconSet" priority="59" id="{8B03D610-D88D-6A44-A2FA-84C7C4895FEC}">
            <x14:iconSet iconSet="3Arrows" custom="1">
              <x14:cfvo type="percent">
                <xm:f>0</xm:f>
              </x14:cfvo>
              <x14:cfvo type="num">
                <xm:f>0</xm:f>
              </x14:cfvo>
              <x14:cfvo type="num" gte="0">
                <xm:f>0</xm:f>
              </x14:cfvo>
              <x14:cfIcon iconSet="3Arrows" iconId="0"/>
              <x14:cfIcon iconSet="3TrafficLights1" iconId="1"/>
              <x14:cfIcon iconSet="3Arrows" iconId="2"/>
            </x14:iconSet>
          </x14:cfRule>
          <xm:sqref>I100</xm:sqref>
        </x14:conditionalFormatting>
        <x14:conditionalFormatting xmlns:xm="http://schemas.microsoft.com/office/excel/2006/main">
          <x14:cfRule type="iconSet" priority="60" id="{EC4D8E05-58EF-3B4D-9053-6F4A49B17218}">
            <x14:iconSet iconSet="3Arrows" custom="1">
              <x14:cfvo type="percent">
                <xm:f>0</xm:f>
              </x14:cfvo>
              <x14:cfvo type="num">
                <xm:f>0</xm:f>
              </x14:cfvo>
              <x14:cfvo type="num" gte="0">
                <xm:f>0</xm:f>
              </x14:cfvo>
              <x14:cfIcon iconSet="3Arrows" iconId="0"/>
              <x14:cfIcon iconSet="3TrafficLights1" iconId="1"/>
              <x14:cfIcon iconSet="3Arrows" iconId="2"/>
            </x14:iconSet>
          </x14:cfRule>
          <xm:sqref>I99</xm:sqref>
        </x14:conditionalFormatting>
        <x14:conditionalFormatting xmlns:xm="http://schemas.microsoft.com/office/excel/2006/main">
          <x14:cfRule type="iconSet" priority="1574" id="{33EB7D2F-B77F-7B4C-8E96-7E20866081DA}">
            <x14:iconSet iconSet="3Arrows" custom="1">
              <x14:cfvo type="percent">
                <xm:f>0</xm:f>
              </x14:cfvo>
              <x14:cfvo type="num">
                <xm:f>0</xm:f>
              </x14:cfvo>
              <x14:cfvo type="num" gte="0">
                <xm:f>0</xm:f>
              </x14:cfvo>
              <x14:cfIcon iconSet="3Arrows" iconId="0"/>
              <x14:cfIcon iconSet="3TrafficLights1" iconId="1"/>
              <x14:cfIcon iconSet="3Arrows" iconId="2"/>
            </x14:iconSet>
          </x14:cfRule>
          <xm:sqref>I94</xm:sqref>
        </x14:conditionalFormatting>
        <x14:conditionalFormatting xmlns:xm="http://schemas.microsoft.com/office/excel/2006/main">
          <x14:cfRule type="iconSet" priority="1575" id="{9B9B4B4C-9687-7A4F-AE0D-B22A9EA807E6}">
            <x14:iconSet iconSet="3Arrows" custom="1">
              <x14:cfvo type="percent">
                <xm:f>0</xm:f>
              </x14:cfvo>
              <x14:cfvo type="num">
                <xm:f>0</xm:f>
              </x14:cfvo>
              <x14:cfvo type="num" gte="0">
                <xm:f>0</xm:f>
              </x14:cfvo>
              <x14:cfIcon iconSet="3Arrows" iconId="0"/>
              <x14:cfIcon iconSet="3TrafficLights1" iconId="1"/>
              <x14:cfIcon iconSet="3Arrows" iconId="2"/>
            </x14:iconSet>
          </x14:cfRule>
          <xm:sqref>I96</xm:sqref>
        </x14:conditionalFormatting>
        <x14:conditionalFormatting xmlns:xm="http://schemas.microsoft.com/office/excel/2006/main">
          <x14:cfRule type="iconSet" priority="1576" id="{8F13DE0D-D271-4A4A-BF09-B4005AF34EBF}">
            <x14:iconSet iconSet="3Arrows" custom="1">
              <x14:cfvo type="percent">
                <xm:f>0</xm:f>
              </x14:cfvo>
              <x14:cfvo type="num">
                <xm:f>0</xm:f>
              </x14:cfvo>
              <x14:cfvo type="num" gte="0">
                <xm:f>0</xm:f>
              </x14:cfvo>
              <x14:cfIcon iconSet="3Arrows" iconId="0"/>
              <x14:cfIcon iconSet="3TrafficLights1" iconId="1"/>
              <x14:cfIcon iconSet="3Arrows" iconId="2"/>
            </x14:iconSet>
          </x14:cfRule>
          <xm:sqref>I95</xm:sqref>
        </x14:conditionalFormatting>
        <x14:conditionalFormatting xmlns:xm="http://schemas.microsoft.com/office/excel/2006/main">
          <x14:cfRule type="iconSet" priority="36" id="{FD336F49-EA9E-A34E-A24E-4FC39032334C}">
            <x14:iconSet iconSet="3Arrows" custom="1">
              <x14:cfvo type="percent">
                <xm:f>0</xm:f>
              </x14:cfvo>
              <x14:cfvo type="num">
                <xm:f>0</xm:f>
              </x14:cfvo>
              <x14:cfvo type="num" gte="0">
                <xm:f>0</xm:f>
              </x14:cfvo>
              <x14:cfIcon iconSet="3Arrows" iconId="0"/>
              <x14:cfIcon iconSet="3TrafficLights1" iconId="1"/>
              <x14:cfIcon iconSet="3Arrows" iconId="2"/>
            </x14:iconSet>
          </x14:cfRule>
          <xm:sqref>I105</xm:sqref>
        </x14:conditionalFormatting>
        <x14:conditionalFormatting xmlns:xm="http://schemas.microsoft.com/office/excel/2006/main">
          <x14:cfRule type="iconSet" priority="35" id="{FBB35BAB-3CC2-7247-A4D6-2BD0BE2C9E74}">
            <x14:iconSet iconSet="3Arrows" custom="1">
              <x14:cfvo type="percent">
                <xm:f>0</xm:f>
              </x14:cfvo>
              <x14:cfvo type="num">
                <xm:f>0</xm:f>
              </x14:cfvo>
              <x14:cfvo type="num" gte="0">
                <xm:f>0</xm:f>
              </x14:cfvo>
              <x14:cfIcon iconSet="3Arrows" iconId="0"/>
              <x14:cfIcon iconSet="3TrafficLights1" iconId="1"/>
              <x14:cfIcon iconSet="3Arrows" iconId="2"/>
            </x14:iconSet>
          </x14:cfRule>
          <xm:sqref>I106</xm:sqref>
        </x14:conditionalFormatting>
        <x14:conditionalFormatting xmlns:xm="http://schemas.microsoft.com/office/excel/2006/main">
          <x14:cfRule type="iconSet" priority="40" id="{5E90E1AF-FC93-8949-B527-704B450A89C9}">
            <x14:iconSet iconSet="3Arrows" custom="1">
              <x14:cfvo type="percent">
                <xm:f>0</xm:f>
              </x14:cfvo>
              <x14:cfvo type="num">
                <xm:f>0</xm:f>
              </x14:cfvo>
              <x14:cfvo type="num" gte="0">
                <xm:f>0</xm:f>
              </x14:cfvo>
              <x14:cfIcon iconSet="3Arrows" iconId="0"/>
              <x14:cfIcon iconSet="3TrafficLights1" iconId="1"/>
              <x14:cfIcon iconSet="3Arrows" iconId="2"/>
            </x14:iconSet>
          </x14:cfRule>
          <xm:sqref>I107</xm:sqref>
        </x14:conditionalFormatting>
        <x14:conditionalFormatting xmlns:xm="http://schemas.microsoft.com/office/excel/2006/main">
          <x14:cfRule type="iconSet" priority="41" id="{4760B6F6-F151-6D4C-9EB7-F8AC795310A0}">
            <x14:iconSet iconSet="3Arrows" custom="1">
              <x14:cfvo type="percent">
                <xm:f>0</xm:f>
              </x14:cfvo>
              <x14:cfvo type="num">
                <xm:f>0</xm:f>
              </x14:cfvo>
              <x14:cfvo type="num" gte="0">
                <xm:f>0</xm:f>
              </x14:cfvo>
              <x14:cfIcon iconSet="3Arrows" iconId="0"/>
              <x14:cfIcon iconSet="3TrafficLights1" iconId="1"/>
              <x14:cfIcon iconSet="3Arrows" iconId="2"/>
            </x14:iconSet>
          </x14:cfRule>
          <xm:sqref>I108 I104</xm:sqref>
        </x14:conditionalFormatting>
        <x14:conditionalFormatting xmlns:xm="http://schemas.microsoft.com/office/excel/2006/main">
          <x14:cfRule type="iconSet" priority="1578" id="{7CF253DD-3E20-CC45-AB56-3BD6187302AD}">
            <x14:iconSet iconSet="3Arrows" custom="1">
              <x14:cfvo type="percent">
                <xm:f>0</xm:f>
              </x14:cfvo>
              <x14:cfvo type="num">
                <xm:f>0</xm:f>
              </x14:cfvo>
              <x14:cfvo type="num" gte="0">
                <xm:f>0</xm:f>
              </x14:cfvo>
              <x14:cfIcon iconSet="3Arrows" iconId="0"/>
              <x14:cfIcon iconSet="3TrafficLights1" iconId="1"/>
              <x14:cfIcon iconSet="3Arrows" iconId="2"/>
            </x14:iconSet>
          </x14:cfRule>
          <xm:sqref>I103</xm:sqref>
        </x14:conditionalFormatting>
        <x14:conditionalFormatting xmlns:xm="http://schemas.microsoft.com/office/excel/2006/main">
          <x14:cfRule type="iconSet" priority="1579" id="{7F187BA9-EB9E-A24A-9A9E-881966E51E3A}">
            <x14:iconSet iconSet="3Arrows" custom="1">
              <x14:cfvo type="percent">
                <xm:f>0</xm:f>
              </x14:cfvo>
              <x14:cfvo type="num">
                <xm:f>0</xm:f>
              </x14:cfvo>
              <x14:cfvo type="num" gte="0">
                <xm:f>0</xm:f>
              </x14:cfvo>
              <x14:cfIcon iconSet="3Arrows" iconId="0"/>
              <x14:cfIcon iconSet="3TrafficLights1" iconId="1"/>
              <x14:cfIcon iconSet="3Arrows" iconId="2"/>
            </x14:iconSet>
          </x14:cfRule>
          <xm:sqref>I110</xm:sqref>
        </x14:conditionalFormatting>
        <x14:conditionalFormatting xmlns:xm="http://schemas.microsoft.com/office/excel/2006/main">
          <x14:cfRule type="iconSet" priority="1580" id="{A9752EFE-F860-B94E-8147-CA2B3FF53C8F}">
            <x14:iconSet iconSet="3Arrows" custom="1">
              <x14:cfvo type="percent">
                <xm:f>0</xm:f>
              </x14:cfvo>
              <x14:cfvo type="num">
                <xm:f>0</xm:f>
              </x14:cfvo>
              <x14:cfvo type="num" gte="0">
                <xm:f>0</xm:f>
              </x14:cfvo>
              <x14:cfIcon iconSet="3Arrows" iconId="0"/>
              <x14:cfIcon iconSet="3TrafficLights1" iconId="1"/>
              <x14:cfIcon iconSet="3Arrows" iconId="2"/>
            </x14:iconSet>
          </x14:cfRule>
          <xm:sqref>I109</xm:sqref>
        </x14:conditionalFormatting>
        <x14:conditionalFormatting xmlns:xm="http://schemas.microsoft.com/office/excel/2006/main">
          <x14:cfRule type="iconSet" priority="2" id="{12FB2C77-8664-C24A-A719-93DC490B31D6}">
            <x14:iconSet iconSet="3Arrows" custom="1">
              <x14:cfvo type="percent">
                <xm:f>0</xm:f>
              </x14:cfvo>
              <x14:cfvo type="num">
                <xm:f>0</xm:f>
              </x14:cfvo>
              <x14:cfvo type="num" gte="0">
                <xm:f>0</xm:f>
              </x14:cfvo>
              <x14:cfIcon iconSet="3Arrows" iconId="0"/>
              <x14:cfIcon iconSet="3TrafficLights1" iconId="1"/>
              <x14:cfIcon iconSet="3Arrows" iconId="2"/>
            </x14:iconSet>
          </x14:cfRule>
          <xm:sqref>I111</xm:sqref>
        </x14:conditionalFormatting>
        <x14:conditionalFormatting xmlns:xm="http://schemas.microsoft.com/office/excel/2006/main">
          <x14:cfRule type="iconSet" priority="1" id="{332972FE-9C33-4643-832C-90A696E6C5ED}">
            <x14:iconSet iconSet="3Arrows" custom="1">
              <x14:cfvo type="percent">
                <xm:f>0</xm:f>
              </x14:cfvo>
              <x14:cfvo type="num">
                <xm:f>0</xm:f>
              </x14:cfvo>
              <x14:cfvo type="num" gte="0">
                <xm:f>0</xm:f>
              </x14:cfvo>
              <x14:cfIcon iconSet="3Arrows" iconId="0"/>
              <x14:cfIcon iconSet="3TrafficLights1" iconId="1"/>
              <x14:cfIcon iconSet="3Arrows" iconId="2"/>
            </x14:iconSet>
          </x14:cfRule>
          <xm:sqref>I112</xm:sqref>
        </x14:conditionalFormatting>
        <x14:conditionalFormatting xmlns:xm="http://schemas.microsoft.com/office/excel/2006/main">
          <x14:cfRule type="iconSet" priority="3" id="{D0D7C984-5C14-8248-AC38-A7551283602B}">
            <x14:iconSet iconSet="3Arrows" custom="1">
              <x14:cfvo type="percent">
                <xm:f>0</xm:f>
              </x14:cfvo>
              <x14:cfvo type="num">
                <xm:f>0</xm:f>
              </x14:cfvo>
              <x14:cfvo type="num" gte="0">
                <xm:f>0</xm:f>
              </x14:cfvo>
              <x14:cfIcon iconSet="3Arrows" iconId="0"/>
              <x14:cfIcon iconSet="3TrafficLights1" iconId="1"/>
              <x14:cfIcon iconSet="3Arrows" iconId="2"/>
            </x14:iconSet>
          </x14:cfRule>
          <xm:sqref>I113</xm:sqref>
        </x14:conditionalFormatting>
        <x14:conditionalFormatting xmlns:xm="http://schemas.microsoft.com/office/excel/2006/main">
          <x14:cfRule type="iconSet" priority="4" id="{A8156945-1394-C443-BD22-BAD436B283B9}">
            <x14:iconSet iconSet="3Arrows" custom="1">
              <x14:cfvo type="percent">
                <xm:f>0</xm:f>
              </x14:cfvo>
              <x14:cfvo type="num">
                <xm:f>0</xm:f>
              </x14:cfvo>
              <x14:cfvo type="num" gte="0">
                <xm:f>0</xm:f>
              </x14:cfvo>
              <x14:cfIcon iconSet="3Arrows" iconId="0"/>
              <x14:cfIcon iconSet="3TrafficLights1" iconId="1"/>
              <x14:cfIcon iconSet="3Arrows" iconId="2"/>
            </x14:iconSet>
          </x14:cfRule>
          <xm:sqref>I114</xm:sqref>
        </x14:conditionalFormatting>
        <x14:conditionalFormatting xmlns:xm="http://schemas.microsoft.com/office/excel/2006/main">
          <x14:cfRule type="iconSet" priority="5" id="{ABE499C6-B120-7341-BC1B-55594F014B68}">
            <x14:iconSet iconSet="3Arrows" custom="1">
              <x14:cfvo type="percent">
                <xm:f>0</xm:f>
              </x14:cfvo>
              <x14:cfvo type="num">
                <xm:f>0</xm:f>
              </x14:cfvo>
              <x14:cfvo type="num" gte="0">
                <xm:f>0</xm:f>
              </x14:cfvo>
              <x14:cfIcon iconSet="3Arrows" iconId="0"/>
              <x14:cfIcon iconSet="3TrafficLights1" iconId="1"/>
              <x14:cfIcon iconSet="3Arrows" iconId="2"/>
            </x14:iconSet>
          </x14:cfRule>
          <xm:sqref>I115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74B1A-7C43-4E7E-81AE-E09419DAACF0}">
  <sheetPr>
    <tabColor theme="5" tint="0.39997558519241921"/>
    <pageSetUpPr autoPageBreaks="0" fitToPage="1"/>
  </sheetPr>
  <dimension ref="A1:AW390"/>
  <sheetViews>
    <sheetView showGridLines="0" zoomScale="50" zoomScaleNormal="50" workbookViewId="0">
      <selection activeCell="G85" sqref="G85"/>
    </sheetView>
  </sheetViews>
  <sheetFormatPr baseColWidth="10" defaultColWidth="10.33203125" defaultRowHeight="30" customHeight="1"/>
  <cols>
    <col min="1" max="1" width="5.83203125" style="12" customWidth="1"/>
    <col min="2" max="2" width="6.5" style="12" customWidth="1"/>
    <col min="3" max="3" width="48" style="12" customWidth="1"/>
    <col min="4" max="4" width="1.33203125" style="12" customWidth="1"/>
    <col min="5" max="5" width="20.83203125" style="12" customWidth="1"/>
    <col min="6" max="6" width="15.33203125" style="12" customWidth="1"/>
    <col min="7" max="7" width="17.83203125" style="12" customWidth="1"/>
    <col min="8" max="8" width="18" style="12" customWidth="1"/>
    <col min="9" max="9" width="20.83203125" style="12" customWidth="1"/>
    <col min="10" max="10" width="18.6640625" style="12" customWidth="1"/>
    <col min="11" max="11" width="24.1640625" style="12" customWidth="1"/>
    <col min="12" max="12" width="18.83203125" style="12" customWidth="1"/>
    <col min="13" max="13" width="20" style="12" customWidth="1"/>
    <col min="14" max="14" width="17" style="12" bestFit="1" customWidth="1"/>
    <col min="15" max="15" width="21.83203125" style="12" bestFit="1" customWidth="1"/>
    <col min="16" max="16" width="17.6640625" style="12" customWidth="1"/>
    <col min="17" max="17" width="16" style="14" customWidth="1"/>
    <col min="18" max="44" width="10.33203125" style="14"/>
    <col min="45" max="16384" width="10.33203125" style="12"/>
  </cols>
  <sheetData>
    <row r="1" spans="1:49" ht="30" customHeight="1">
      <c r="B1" s="13"/>
      <c r="C1" s="13"/>
      <c r="D1" s="13"/>
      <c r="E1" s="13"/>
      <c r="F1" s="13"/>
      <c r="G1" s="13"/>
      <c r="H1" s="13"/>
      <c r="I1" s="13"/>
      <c r="J1" s="13"/>
      <c r="K1" s="13"/>
      <c r="L1" s="13"/>
      <c r="M1" s="13"/>
      <c r="N1" s="13"/>
      <c r="O1" s="13"/>
      <c r="P1" s="13"/>
      <c r="Q1" s="13"/>
    </row>
    <row r="2" spans="1:49" ht="30" customHeight="1">
      <c r="B2" s="13"/>
      <c r="C2" s="13"/>
      <c r="D2" s="13"/>
      <c r="E2" s="13"/>
      <c r="F2" s="13"/>
      <c r="G2" s="13"/>
      <c r="H2" s="13"/>
      <c r="I2" s="13"/>
      <c r="J2" s="13"/>
      <c r="K2" s="13"/>
      <c r="L2" s="13"/>
      <c r="M2" s="13"/>
      <c r="N2" s="13"/>
      <c r="O2" s="13"/>
      <c r="P2" s="13"/>
      <c r="Q2" s="13"/>
    </row>
    <row r="3" spans="1:49" ht="51.5" customHeight="1">
      <c r="B3" s="13"/>
      <c r="D3" s="16"/>
      <c r="E3" s="13"/>
      <c r="F3" s="13"/>
      <c r="G3" s="13"/>
      <c r="H3" s="13"/>
      <c r="I3" s="13"/>
      <c r="J3" s="13"/>
      <c r="K3" s="13"/>
      <c r="L3" s="13"/>
      <c r="M3" s="17"/>
      <c r="N3" s="13"/>
      <c r="O3" s="13"/>
      <c r="P3" s="13"/>
      <c r="Q3" s="13"/>
    </row>
    <row r="4" spans="1:49" ht="66" customHeight="1">
      <c r="B4" s="13"/>
      <c r="C4" s="15" t="s">
        <v>80</v>
      </c>
      <c r="D4" s="84"/>
      <c r="E4" s="18"/>
      <c r="G4" s="13"/>
      <c r="H4" s="13"/>
      <c r="I4" s="13"/>
      <c r="J4" s="13"/>
      <c r="K4" s="13"/>
      <c r="L4" s="13"/>
      <c r="M4" s="13"/>
      <c r="N4" s="13"/>
      <c r="O4" s="13"/>
      <c r="P4" s="13"/>
      <c r="Q4" s="13"/>
    </row>
    <row r="5" spans="1:49" ht="16.5" customHeight="1">
      <c r="Q5" s="12"/>
    </row>
    <row r="6" spans="1:49" ht="4.5" customHeight="1">
      <c r="C6" s="19"/>
      <c r="D6" s="20"/>
      <c r="E6" s="18"/>
      <c r="Q6" s="12"/>
    </row>
    <row r="7" spans="1:49" ht="44.25" customHeight="1">
      <c r="B7" s="21"/>
      <c r="C7" s="30"/>
      <c r="D7" s="31"/>
      <c r="E7" s="32" t="s">
        <v>81</v>
      </c>
      <c r="F7" s="32" t="s">
        <v>106</v>
      </c>
      <c r="G7" s="32" t="s">
        <v>82</v>
      </c>
      <c r="H7" s="32" t="s">
        <v>83</v>
      </c>
      <c r="I7" s="33" t="s">
        <v>84</v>
      </c>
      <c r="J7" s="32" t="s">
        <v>128</v>
      </c>
      <c r="K7" s="32" t="s">
        <v>138</v>
      </c>
      <c r="L7" s="32" t="s">
        <v>132</v>
      </c>
      <c r="M7" s="32" t="s">
        <v>133</v>
      </c>
      <c r="N7" s="32" t="s">
        <v>107</v>
      </c>
      <c r="O7" s="32" t="s">
        <v>137</v>
      </c>
      <c r="P7" s="32" t="s">
        <v>86</v>
      </c>
      <c r="Q7" s="34" t="s">
        <v>116</v>
      </c>
    </row>
    <row r="8" spans="1:49" ht="15" customHeight="1">
      <c r="C8" s="35"/>
      <c r="D8" s="36"/>
      <c r="E8" s="37"/>
      <c r="F8" s="38"/>
      <c r="G8" s="38"/>
      <c r="H8" s="38"/>
      <c r="I8" s="38"/>
      <c r="J8" s="38"/>
      <c r="K8" s="38"/>
      <c r="L8" s="38"/>
      <c r="M8" s="38"/>
      <c r="N8" s="38"/>
      <c r="O8" s="38"/>
      <c r="P8" s="39"/>
      <c r="Q8" s="40"/>
      <c r="R8" s="28"/>
    </row>
    <row r="9" spans="1:49" ht="28.5" customHeight="1">
      <c r="C9" s="41"/>
      <c r="D9" s="42"/>
      <c r="E9" s="43"/>
      <c r="F9" s="43"/>
      <c r="G9" s="43"/>
      <c r="H9" s="43"/>
      <c r="I9" s="43"/>
      <c r="J9" s="43"/>
      <c r="K9" s="43"/>
      <c r="L9" s="43"/>
      <c r="M9" s="43"/>
      <c r="N9" s="43"/>
      <c r="O9" s="43"/>
      <c r="P9" s="44"/>
      <c r="Q9" s="45"/>
    </row>
    <row r="10" spans="1:49" ht="30" hidden="1" customHeight="1">
      <c r="B10" s="21"/>
      <c r="C10" s="46" t="s">
        <v>108</v>
      </c>
      <c r="D10" s="47" t="s">
        <v>89</v>
      </c>
      <c r="E10" s="48" t="s">
        <v>90</v>
      </c>
      <c r="F10" s="49" t="s">
        <v>109</v>
      </c>
      <c r="G10" s="49" t="s">
        <v>91</v>
      </c>
      <c r="H10" s="49" t="s">
        <v>92</v>
      </c>
      <c r="I10" s="50" t="s">
        <v>88</v>
      </c>
      <c r="J10" s="50" t="s">
        <v>93</v>
      </c>
      <c r="K10" s="50" t="s">
        <v>94</v>
      </c>
      <c r="L10" s="49" t="s">
        <v>95</v>
      </c>
      <c r="M10" s="49" t="s">
        <v>110</v>
      </c>
      <c r="N10" s="49" t="s">
        <v>96</v>
      </c>
      <c r="O10" s="50" t="s">
        <v>97</v>
      </c>
      <c r="P10" s="51" t="s">
        <v>98</v>
      </c>
      <c r="Q10" s="52" t="s">
        <v>97</v>
      </c>
    </row>
    <row r="11" spans="1:49" s="14" customFormat="1" ht="37.5" customHeight="1">
      <c r="A11" s="12"/>
      <c r="B11" s="12"/>
      <c r="C11" s="79" t="s">
        <v>87</v>
      </c>
      <c r="D11" s="53"/>
      <c r="E11" s="54"/>
      <c r="F11" s="54"/>
      <c r="G11" s="54"/>
      <c r="H11" s="54"/>
      <c r="I11" s="54"/>
      <c r="J11" s="54"/>
      <c r="K11" s="54"/>
      <c r="L11" s="54"/>
      <c r="M11" s="54"/>
      <c r="N11" s="54"/>
      <c r="O11" s="54"/>
      <c r="P11" s="55"/>
      <c r="Q11" s="56"/>
      <c r="AS11" s="12"/>
      <c r="AT11" s="12"/>
      <c r="AU11" s="12"/>
      <c r="AV11" s="12"/>
      <c r="AW11" s="12"/>
    </row>
    <row r="12" spans="1:49" ht="40" customHeight="1">
      <c r="B12" s="21"/>
      <c r="C12" s="77" t="s">
        <v>0</v>
      </c>
      <c r="D12" s="71"/>
      <c r="E12" s="72">
        <f>VLOOKUP(C12,'Pricelist _ Feb 01.2021'!$B$6:$G$88,6,FALSE)</f>
        <v>9.15</v>
      </c>
      <c r="F12" s="73">
        <f>Revenue2[[#This Row],[Column3]]/Revenue2[[#This Row],[Column6]]</f>
        <v>3.1551724137931036</v>
      </c>
      <c r="G12" s="73">
        <v>0.35662361496976958</v>
      </c>
      <c r="H12" s="73">
        <v>2.9</v>
      </c>
      <c r="I12" s="73" t="s">
        <v>99</v>
      </c>
      <c r="J12" s="73">
        <v>45.23057</v>
      </c>
      <c r="K12" s="73">
        <v>20.284680000000002</v>
      </c>
      <c r="L12" s="64">
        <v>5.3</v>
      </c>
      <c r="M12" s="64">
        <v>12</v>
      </c>
      <c r="N12" s="74">
        <f>(Revenue2[[#This Row],[Column3]]/8.45)-1</f>
        <v>8.2840236686390734E-2</v>
      </c>
      <c r="O12" s="73">
        <v>0.65</v>
      </c>
      <c r="P12" s="75">
        <f>Revenue2[[#This Row],[Column15]]/Revenue2[[#This Row],[Column3]]</f>
        <v>7.1038251366120214E-2</v>
      </c>
      <c r="Q12" s="73" t="s">
        <v>117</v>
      </c>
    </row>
    <row r="13" spans="1:49" ht="40" customHeight="1">
      <c r="C13" s="78" t="s">
        <v>6</v>
      </c>
      <c r="D13" s="76"/>
      <c r="E13" s="72">
        <f>VLOOKUP(C13,'Pricelist _ Feb 01.2021'!$B$6:$G$88,6,FALSE)</f>
        <v>6.75</v>
      </c>
      <c r="F13" s="73">
        <v>1.53</v>
      </c>
      <c r="G13" s="73">
        <v>0.16882226630062772</v>
      </c>
      <c r="H13" s="73">
        <v>0.4</v>
      </c>
      <c r="I13" s="73" t="s">
        <v>99</v>
      </c>
      <c r="J13" s="73">
        <v>37.678440000000002</v>
      </c>
      <c r="K13" s="73">
        <v>23.22456</v>
      </c>
      <c r="L13" s="64">
        <v>3.9</v>
      </c>
      <c r="M13" s="64">
        <v>9</v>
      </c>
      <c r="N13" s="74">
        <f>(Revenue2[[#This Row],[Column3]]/6)-1</f>
        <v>0.125</v>
      </c>
      <c r="O13" s="73" t="s">
        <v>99</v>
      </c>
      <c r="P13" s="75" t="s">
        <v>99</v>
      </c>
      <c r="Q13" s="73" t="s">
        <v>117</v>
      </c>
    </row>
    <row r="14" spans="1:49" s="14" customFormat="1" ht="40" customHeight="1">
      <c r="A14" s="12"/>
      <c r="B14" s="12"/>
      <c r="C14" s="78" t="s">
        <v>7</v>
      </c>
      <c r="D14" s="76"/>
      <c r="E14" s="72">
        <f>VLOOKUP(C14,'Pricelist _ Feb 01.2021'!$B$6:$G$88,6,FALSE)</f>
        <v>7.5</v>
      </c>
      <c r="F14" s="73">
        <f>Revenue2[[#This Row],[Column3]]/Revenue2[[#This Row],[Column6]]</f>
        <v>3.8461538461538463</v>
      </c>
      <c r="G14" s="73">
        <v>0.2554055004586484</v>
      </c>
      <c r="H14" s="73">
        <v>1.95</v>
      </c>
      <c r="I14" s="73" t="s">
        <v>99</v>
      </c>
      <c r="J14" s="73">
        <v>49.816830000000003</v>
      </c>
      <c r="K14" s="73">
        <v>11.7774</v>
      </c>
      <c r="L14" s="64">
        <v>3.6</v>
      </c>
      <c r="M14" s="64">
        <v>7.85</v>
      </c>
      <c r="N14" s="74">
        <f>(Revenue2[[#This Row],[Column3]]/7.15)-1</f>
        <v>4.8951048951048959E-2</v>
      </c>
      <c r="O14" s="73">
        <v>0.38</v>
      </c>
      <c r="P14" s="75">
        <f>Revenue2[[#This Row],[Column15]]/Revenue2[[#This Row],[Column3]]</f>
        <v>5.0666666666666665E-2</v>
      </c>
      <c r="Q14" s="73" t="s">
        <v>117</v>
      </c>
      <c r="AS14" s="12"/>
      <c r="AT14" s="12"/>
      <c r="AU14" s="12"/>
      <c r="AV14" s="12"/>
      <c r="AW14" s="12"/>
    </row>
    <row r="15" spans="1:49" s="14" customFormat="1" ht="40" customHeight="1">
      <c r="A15" s="12"/>
      <c r="B15" s="12"/>
      <c r="C15" s="78" t="s">
        <v>8</v>
      </c>
      <c r="D15" s="76"/>
      <c r="E15" s="72">
        <f>VLOOKUP(C15,'Pricelist _ Feb 01.2021'!$B$6:$G$88,6,FALSE)</f>
        <v>3.37</v>
      </c>
      <c r="F15" s="73">
        <f>Revenue2[[#This Row],[Column3]]/Revenue2[[#This Row],[Column6]]</f>
        <v>3.7865168539325844</v>
      </c>
      <c r="G15" s="73">
        <v>0.19874213409656014</v>
      </c>
      <c r="H15" s="73">
        <v>0.89</v>
      </c>
      <c r="I15" s="73" t="s">
        <v>99</v>
      </c>
      <c r="J15" s="73">
        <v>61.518129999999999</v>
      </c>
      <c r="K15" s="73">
        <v>28.338830000000002</v>
      </c>
      <c r="L15" s="64">
        <v>1.41</v>
      </c>
      <c r="M15" s="64">
        <v>3.99</v>
      </c>
      <c r="N15" s="74">
        <f>(Revenue2[[#This Row],[Column3]]/3.33)-1</f>
        <v>1.2012012012011963E-2</v>
      </c>
      <c r="O15" s="73">
        <v>0.14000000000000001</v>
      </c>
      <c r="P15" s="75">
        <f>Revenue2[[#This Row],[Column15]]/Revenue2[[#This Row],[Column3]]</f>
        <v>4.1543026706231459E-2</v>
      </c>
      <c r="Q15" s="73" t="s">
        <v>117</v>
      </c>
      <c r="AS15" s="12"/>
      <c r="AT15" s="12"/>
      <c r="AU15" s="12"/>
      <c r="AV15" s="12"/>
      <c r="AW15" s="12"/>
    </row>
    <row r="16" spans="1:49" s="14" customFormat="1" ht="40" customHeight="1">
      <c r="A16" s="12"/>
      <c r="B16" s="12"/>
      <c r="C16" s="78" t="s">
        <v>9</v>
      </c>
      <c r="D16" s="76"/>
      <c r="E16" s="72">
        <f>VLOOKUP(C16,'Pricelist _ Feb 01.2021'!$B$6:$G$88,6,FALSE)</f>
        <v>2.71</v>
      </c>
      <c r="F16" s="73">
        <f>Revenue2[[#This Row],[Column3]]/Revenue2[[#This Row],[Column6]]</f>
        <v>2.7653061224489797</v>
      </c>
      <c r="G16" s="73">
        <v>0.2103062897047136</v>
      </c>
      <c r="H16" s="73">
        <v>0.98</v>
      </c>
      <c r="I16" s="73" t="s">
        <v>99</v>
      </c>
      <c r="J16" s="73">
        <v>49.62811</v>
      </c>
      <c r="K16" s="73">
        <v>26.655519999999999</v>
      </c>
      <c r="L16" s="64">
        <v>1.5</v>
      </c>
      <c r="M16" s="64">
        <v>3.5</v>
      </c>
      <c r="N16" s="74">
        <f>(Revenue2[[#This Row],[Column3]]/2.52)-1</f>
        <v>7.5396825396825351E-2</v>
      </c>
      <c r="O16" s="73">
        <v>0.2</v>
      </c>
      <c r="P16" s="75">
        <f>Revenue2[[#This Row],[Column15]]/Revenue2[[#This Row],[Column3]]</f>
        <v>7.3800738007380073E-2</v>
      </c>
      <c r="Q16" s="73" t="s">
        <v>117</v>
      </c>
      <c r="AS16" s="12"/>
      <c r="AT16" s="12"/>
      <c r="AU16" s="12"/>
      <c r="AV16" s="12"/>
      <c r="AW16" s="12"/>
    </row>
    <row r="17" spans="1:49" s="14" customFormat="1" ht="40" customHeight="1">
      <c r="A17" s="12"/>
      <c r="B17" s="12"/>
      <c r="C17" s="78" t="s">
        <v>11</v>
      </c>
      <c r="D17" s="76"/>
      <c r="E17" s="72">
        <f>VLOOKUP(C17,'Pricelist _ Feb 01.2021'!$B$6:$G$88,6,FALSE)</f>
        <v>34.5</v>
      </c>
      <c r="F17" s="73">
        <f>Revenue2[[#This Row],[Column3]]/Revenue2[[#This Row],[Column6]]</f>
        <v>4.9568965517241379</v>
      </c>
      <c r="G17" s="73">
        <v>1.1554612550286565</v>
      </c>
      <c r="H17" s="73">
        <v>6.96</v>
      </c>
      <c r="I17" s="73" t="s">
        <v>99</v>
      </c>
      <c r="J17" s="73">
        <v>60.039119999999997</v>
      </c>
      <c r="K17" s="73">
        <v>27.641290000000001</v>
      </c>
      <c r="L17" s="64">
        <v>16.7</v>
      </c>
      <c r="M17" s="64">
        <v>38.5</v>
      </c>
      <c r="N17" s="74">
        <f>(Revenue2[[#This Row],[Column3]]/32.35)-1</f>
        <v>6.646058732612059E-2</v>
      </c>
      <c r="O17" s="73">
        <v>2.8</v>
      </c>
      <c r="P17" s="75">
        <f>Revenue2[[#This Row],[Column15]]/Revenue2[[#This Row],[Column3]]</f>
        <v>8.1159420289855067E-2</v>
      </c>
      <c r="Q17" s="73" t="s">
        <v>117</v>
      </c>
      <c r="AS17" s="12"/>
      <c r="AT17" s="12"/>
      <c r="AU17" s="12"/>
      <c r="AV17" s="12"/>
      <c r="AW17" s="12"/>
    </row>
    <row r="18" spans="1:49" s="14" customFormat="1" ht="40" customHeight="1">
      <c r="A18" s="12"/>
      <c r="B18" s="12"/>
      <c r="C18" s="78" t="s">
        <v>50</v>
      </c>
      <c r="D18" s="76"/>
      <c r="E18" s="72">
        <f>VLOOKUP(C18,'Pricelist _ Feb 01.2021'!$B$6:$G$88,6,FALSE)</f>
        <v>0.71</v>
      </c>
      <c r="F18" s="73">
        <f>Revenue2[[#This Row],[Column3]]/Revenue2[[#This Row],[Column6]]</f>
        <v>25.072392118087436</v>
      </c>
      <c r="G18" s="73">
        <v>1.0979125850653746</v>
      </c>
      <c r="H18" s="73">
        <v>2.8317999999999999E-2</v>
      </c>
      <c r="I18" s="73" t="s">
        <v>99</v>
      </c>
      <c r="J18" s="73">
        <v>55.588540000000002</v>
      </c>
      <c r="K18" s="73">
        <v>55.806719999999999</v>
      </c>
      <c r="L18" s="64">
        <v>0.36</v>
      </c>
      <c r="M18" s="64">
        <v>0.82</v>
      </c>
      <c r="N18" s="74">
        <f>(Revenue2[[#This Row],[Column3]]/0.66)-1</f>
        <v>7.575757575757569E-2</v>
      </c>
      <c r="O18" s="73">
        <v>0.03</v>
      </c>
      <c r="P18" s="75">
        <f>Revenue2[[#This Row],[Column15]]/Revenue2[[#This Row],[Column3]]</f>
        <v>4.2253521126760563E-2</v>
      </c>
      <c r="Q18" s="73" t="s">
        <v>117</v>
      </c>
      <c r="AS18" s="12"/>
      <c r="AT18" s="12"/>
      <c r="AU18" s="12"/>
      <c r="AV18" s="12"/>
      <c r="AW18" s="12"/>
    </row>
    <row r="19" spans="1:49" s="14" customFormat="1" ht="40" customHeight="1">
      <c r="A19" s="12"/>
      <c r="B19" s="12"/>
      <c r="C19" s="78" t="s">
        <v>78</v>
      </c>
      <c r="D19" s="76"/>
      <c r="E19" s="72">
        <f>VLOOKUP(C19,'Pricelist _ Feb 01.2021'!$B$6:$G$88,6,FALSE)</f>
        <v>2</v>
      </c>
      <c r="F19" s="73">
        <f>Revenue2[[#This Row],[Column3]]/Revenue2[[#This Row],[Column6]]</f>
        <v>5.7142857142857144</v>
      </c>
      <c r="G19" s="73">
        <v>0.53099098100001507</v>
      </c>
      <c r="H19" s="73">
        <v>0.35</v>
      </c>
      <c r="I19" s="73" t="s">
        <v>99</v>
      </c>
      <c r="J19" s="73">
        <v>43.151760000000003</v>
      </c>
      <c r="K19" s="73">
        <v>52.217709999999997</v>
      </c>
      <c r="L19" s="64">
        <v>0.85</v>
      </c>
      <c r="M19" s="64">
        <v>1.99</v>
      </c>
      <c r="N19" s="74">
        <f>(Revenue2[[#This Row],[Column3]]/1.7)-1</f>
        <v>0.17647058823529416</v>
      </c>
      <c r="O19" s="73">
        <v>0.2</v>
      </c>
      <c r="P19" s="75">
        <f>Revenue2[[#This Row],[Column15]]/Revenue2[[#This Row],[Column3]]</f>
        <v>0.1</v>
      </c>
      <c r="Q19" s="73" t="s">
        <v>117</v>
      </c>
      <c r="AS19" s="12"/>
      <c r="AT19" s="12"/>
      <c r="AU19" s="12"/>
      <c r="AV19" s="12"/>
      <c r="AW19" s="12"/>
    </row>
    <row r="20" spans="1:49" s="14" customFormat="1" ht="40" customHeight="1">
      <c r="A20" s="12"/>
      <c r="B20" s="12"/>
      <c r="C20" s="78" t="s">
        <v>18</v>
      </c>
      <c r="D20" s="76"/>
      <c r="E20" s="72">
        <f>VLOOKUP(C20,'Pricelist _ Feb 01.2021'!$B$6:$G$97,6,FALSE)</f>
        <v>45</v>
      </c>
      <c r="F20" s="73">
        <f>Revenue2[[#This Row],[Column3]]/Revenue2[[#This Row],[Column6]]</f>
        <v>6.502890173410405</v>
      </c>
      <c r="G20" s="73">
        <v>1.2046175049950094</v>
      </c>
      <c r="H20" s="73">
        <v>6.92</v>
      </c>
      <c r="I20" s="73" t="s">
        <v>99</v>
      </c>
      <c r="J20" s="73">
        <v>74.383920000000003</v>
      </c>
      <c r="K20" s="73">
        <v>25.122070000000001</v>
      </c>
      <c r="L20" s="64">
        <v>23.5</v>
      </c>
      <c r="M20" s="64">
        <v>48</v>
      </c>
      <c r="N20" s="74">
        <f>(Revenue2[[#This Row],[Column3]]/44.05)-1</f>
        <v>2.156640181611813E-2</v>
      </c>
      <c r="O20" s="73">
        <v>3</v>
      </c>
      <c r="P20" s="75">
        <f>Revenue2[[#This Row],[Column15]]/Revenue2[[#This Row],[Column3]]</f>
        <v>6.6666666666666666E-2</v>
      </c>
      <c r="Q20" s="73" t="s">
        <v>117</v>
      </c>
      <c r="AS20" s="12"/>
      <c r="AT20" s="12"/>
      <c r="AU20" s="12"/>
      <c r="AV20" s="12"/>
      <c r="AW20" s="12"/>
    </row>
    <row r="21" spans="1:49" s="14" customFormat="1" ht="40" customHeight="1">
      <c r="A21" s="12"/>
      <c r="B21" s="12"/>
      <c r="C21" s="78" t="s">
        <v>19</v>
      </c>
      <c r="D21" s="76"/>
      <c r="E21" s="72" t="e">
        <f>VLOOKUP(C21,'Pricelist _ Feb 01.2021'!$B$6:$G$93,6,FALSE)</f>
        <v>#N/A</v>
      </c>
      <c r="F21" s="73" t="e">
        <f>Revenue2[[#This Row],[Column3]]/Revenue2[[#This Row],[Column6]]</f>
        <v>#N/A</v>
      </c>
      <c r="G21" s="73">
        <v>0.26843796618571675</v>
      </c>
      <c r="H21" s="73">
        <v>0.37</v>
      </c>
      <c r="I21" s="73" t="s">
        <v>99</v>
      </c>
      <c r="J21" s="73">
        <v>45.648110000000003</v>
      </c>
      <c r="K21" s="73">
        <v>34.494480000000003</v>
      </c>
      <c r="L21" s="64">
        <v>0.99</v>
      </c>
      <c r="M21" s="64">
        <v>2.5</v>
      </c>
      <c r="N21" s="74" t="e">
        <f>(Revenue2[[#This Row],[Column3]]/2.04)-1</f>
        <v>#N/A</v>
      </c>
      <c r="O21" s="73">
        <v>0.03</v>
      </c>
      <c r="P21" s="75" t="e">
        <f>Revenue2[[#This Row],[Column15]]/Revenue2[[#This Row],[Column3]]</f>
        <v>#N/A</v>
      </c>
      <c r="Q21" s="73" t="s">
        <v>117</v>
      </c>
      <c r="AS21" s="12"/>
      <c r="AT21" s="12"/>
      <c r="AU21" s="12"/>
      <c r="AV21" s="12"/>
      <c r="AW21" s="12"/>
    </row>
    <row r="22" spans="1:49" s="14" customFormat="1" ht="40" customHeight="1">
      <c r="A22" s="12"/>
      <c r="B22" s="12"/>
      <c r="C22" s="78" t="s">
        <v>23</v>
      </c>
      <c r="D22" s="76"/>
      <c r="E22" s="72">
        <f>VLOOKUP(C22,'Pricelist _ Feb 01.2021'!$B$6:$G$102,6,FALSE)</f>
        <v>9.1</v>
      </c>
      <c r="F22" s="73">
        <f>Revenue2[[#This Row],[Column3]]/Revenue2[[#This Row],[Column6]]</f>
        <v>3.6111111111111112</v>
      </c>
      <c r="G22" s="73">
        <v>0.39161836977694497</v>
      </c>
      <c r="H22" s="73">
        <v>2.52</v>
      </c>
      <c r="I22" s="73" t="s">
        <v>99</v>
      </c>
      <c r="J22" s="73">
        <v>50.534230000000001</v>
      </c>
      <c r="K22" s="73">
        <v>18.645579999999999</v>
      </c>
      <c r="L22" s="64">
        <v>4.4000000000000004</v>
      </c>
      <c r="M22" s="64">
        <v>9.25</v>
      </c>
      <c r="N22" s="74">
        <f>(Revenue2[[#This Row],[Column3]]/8.65)-1</f>
        <v>5.2023121387283044E-2</v>
      </c>
      <c r="O22" s="73">
        <v>1</v>
      </c>
      <c r="P22" s="75">
        <f>Revenue2[[#This Row],[Column15]]/Revenue2[[#This Row],[Column3]]</f>
        <v>0.10989010989010989</v>
      </c>
      <c r="Q22" s="73" t="s">
        <v>117</v>
      </c>
      <c r="AS22" s="12"/>
      <c r="AT22" s="12"/>
      <c r="AU22" s="12"/>
      <c r="AV22" s="12"/>
      <c r="AW22" s="12"/>
    </row>
    <row r="23" spans="1:49" s="14" customFormat="1" ht="40" customHeight="1">
      <c r="A23" s="12"/>
      <c r="B23" s="12"/>
      <c r="C23" s="78" t="s">
        <v>24</v>
      </c>
      <c r="D23" s="76"/>
      <c r="E23" s="72">
        <f>VLOOKUP(C23,'Pricelist _ Feb 01.2021'!$B$6:$G$110,6,FALSE)</f>
        <v>6.05</v>
      </c>
      <c r="F23" s="73">
        <f>Revenue2[[#This Row],[Column3]]/Revenue2[[#This Row],[Column6]]</f>
        <v>8.9852063404368447</v>
      </c>
      <c r="G23" s="73">
        <v>0.62726039757428043</v>
      </c>
      <c r="H23" s="73">
        <v>0.67332899999999996</v>
      </c>
      <c r="I23" s="73" t="s">
        <v>99</v>
      </c>
      <c r="J23" s="73">
        <v>39.295400000000001</v>
      </c>
      <c r="K23" s="73">
        <v>33.280659999999997</v>
      </c>
      <c r="L23" s="64">
        <v>4.9000000000000004</v>
      </c>
      <c r="M23" s="64">
        <v>7.6</v>
      </c>
      <c r="N23" s="74">
        <f>(Revenue2[[#This Row],[Column3]]/5.35)-1</f>
        <v>0.13084112149532712</v>
      </c>
      <c r="O23" s="73">
        <v>0.25</v>
      </c>
      <c r="P23" s="75">
        <f>Revenue2[[#This Row],[Column15]]/Revenue2[[#This Row],[Column3]]</f>
        <v>4.1322314049586778E-2</v>
      </c>
      <c r="Q23" s="73" t="s">
        <v>117</v>
      </c>
      <c r="AS23" s="12"/>
      <c r="AT23" s="12"/>
      <c r="AU23" s="12"/>
      <c r="AV23" s="12"/>
      <c r="AW23" s="12"/>
    </row>
    <row r="24" spans="1:49" s="14" customFormat="1" ht="40" customHeight="1">
      <c r="A24" s="12"/>
      <c r="B24" s="12"/>
      <c r="C24" s="78" t="s">
        <v>27</v>
      </c>
      <c r="D24" s="76"/>
      <c r="E24" s="72" t="e">
        <f>VLOOKUP(C24,'Pricelist _ Feb 01.2021'!$B$6:$G$110,6,FALSE)</f>
        <v>#N/A</v>
      </c>
      <c r="F24" s="73" t="e">
        <f>Revenue2[[#This Row],[Column3]]/Revenue2[[#This Row],[Column6]]</f>
        <v>#N/A</v>
      </c>
      <c r="G24" s="73">
        <v>0.57184990981828543</v>
      </c>
      <c r="H24" s="73">
        <v>6.65</v>
      </c>
      <c r="I24" s="73" t="s">
        <v>99</v>
      </c>
      <c r="J24" s="73">
        <v>54.498779999999996</v>
      </c>
      <c r="K24" s="73">
        <v>19.230090000000001</v>
      </c>
      <c r="L24" s="64">
        <v>10.7</v>
      </c>
      <c r="M24" s="64">
        <v>28</v>
      </c>
      <c r="N24" s="74" t="e">
        <f>(Revenue2[[#This Row],[Column3]]/24.8)-1</f>
        <v>#N/A</v>
      </c>
      <c r="O24" s="73">
        <v>2.8</v>
      </c>
      <c r="P24" s="75" t="e">
        <f>Revenue2[[#This Row],[Column15]]/Revenue2[[#This Row],[Column3]]</f>
        <v>#N/A</v>
      </c>
      <c r="Q24" s="73" t="s">
        <v>117</v>
      </c>
      <c r="AS24" s="12"/>
      <c r="AT24" s="12"/>
      <c r="AU24" s="12"/>
      <c r="AV24" s="12"/>
      <c r="AW24" s="12"/>
    </row>
    <row r="25" spans="1:49" s="14" customFormat="1" ht="42" customHeight="1">
      <c r="A25" s="12"/>
      <c r="B25" s="12"/>
      <c r="C25" s="82"/>
      <c r="D25" s="38"/>
      <c r="E25" s="57"/>
      <c r="F25" s="58"/>
      <c r="G25" s="58"/>
      <c r="H25" s="59"/>
      <c r="I25" s="38"/>
      <c r="J25" s="58"/>
      <c r="K25" s="58"/>
      <c r="L25" s="60"/>
      <c r="M25" s="61"/>
      <c r="N25" s="61"/>
      <c r="O25" s="60"/>
      <c r="P25" s="62"/>
      <c r="Q25" s="63"/>
      <c r="AS25" s="12"/>
      <c r="AT25" s="12"/>
      <c r="AU25" s="12"/>
      <c r="AV25" s="12"/>
      <c r="AW25" s="12"/>
    </row>
    <row r="26" spans="1:49" s="14" customFormat="1" ht="36" customHeight="1">
      <c r="A26" s="12"/>
      <c r="B26" s="21"/>
      <c r="C26" s="83" t="s">
        <v>100</v>
      </c>
      <c r="D26" s="53"/>
      <c r="E26" s="64" t="s">
        <v>81</v>
      </c>
      <c r="F26" s="64" t="s">
        <v>106</v>
      </c>
      <c r="G26" s="64" t="s">
        <v>123</v>
      </c>
      <c r="H26" s="64" t="s">
        <v>83</v>
      </c>
      <c r="I26" s="64" t="s">
        <v>84</v>
      </c>
      <c r="J26" s="65" t="s">
        <v>128</v>
      </c>
      <c r="K26" s="64" t="s">
        <v>124</v>
      </c>
      <c r="L26" s="65" t="s">
        <v>130</v>
      </c>
      <c r="M26" s="65" t="s">
        <v>131</v>
      </c>
      <c r="N26" s="65" t="s">
        <v>107</v>
      </c>
      <c r="O26" s="64" t="s">
        <v>125</v>
      </c>
      <c r="P26" s="64" t="s">
        <v>126</v>
      </c>
      <c r="Q26" s="64" t="s">
        <v>127</v>
      </c>
      <c r="AS26" s="12"/>
      <c r="AT26" s="12"/>
      <c r="AU26" s="12"/>
      <c r="AV26" s="12"/>
      <c r="AW26" s="12"/>
    </row>
    <row r="27" spans="1:49" s="14" customFormat="1" ht="40" customHeight="1">
      <c r="A27" s="12"/>
      <c r="B27" s="21"/>
      <c r="C27" s="77" t="s">
        <v>3</v>
      </c>
      <c r="D27" s="70"/>
      <c r="E27" s="72">
        <f>VLOOKUP(C27,'Pricelist _ Feb 01.2021'!$B$6:$G$88,6,FALSE)</f>
        <v>9.1999999999999993</v>
      </c>
      <c r="F27" s="73">
        <f>E27/H27</f>
        <v>16.140350877192983</v>
      </c>
      <c r="G27" s="73">
        <v>1.1035148721009553</v>
      </c>
      <c r="H27" s="73">
        <v>0.56999999999999995</v>
      </c>
      <c r="I27" s="73">
        <v>2.2105130855360908</v>
      </c>
      <c r="J27" s="73">
        <v>55.985219999999998</v>
      </c>
      <c r="K27" s="73">
        <v>46.530799999999999</v>
      </c>
      <c r="L27" s="64">
        <v>4.95</v>
      </c>
      <c r="M27" s="64">
        <v>11.65</v>
      </c>
      <c r="N27" s="74">
        <f>(E27/9)-1</f>
        <v>2.2222222222222143E-2</v>
      </c>
      <c r="O27" s="73">
        <v>0.49</v>
      </c>
      <c r="P27" s="75">
        <f>O27/E27</f>
        <v>5.3260869565217396E-2</v>
      </c>
      <c r="Q27" s="73" t="s">
        <v>117</v>
      </c>
      <c r="AS27" s="12"/>
      <c r="AT27" s="12"/>
      <c r="AU27" s="12"/>
      <c r="AV27" s="12"/>
      <c r="AW27" s="12"/>
    </row>
    <row r="28" spans="1:49" s="14" customFormat="1" ht="40" customHeight="1">
      <c r="A28" s="12"/>
      <c r="B28" s="12"/>
      <c r="C28" s="78" t="s">
        <v>73</v>
      </c>
      <c r="D28" s="70"/>
      <c r="E28" s="72">
        <f>VLOOKUP(C28,'Pricelist _ Feb 01.2021'!$B$6:$G$88,6,FALSE)</f>
        <v>3.42</v>
      </c>
      <c r="F28" s="73">
        <f t="shared" ref="F28:F29" si="0">E28/H28</f>
        <v>171</v>
      </c>
      <c r="G28" s="73">
        <v>0.89121912141121273</v>
      </c>
      <c r="H28" s="73">
        <v>0.02</v>
      </c>
      <c r="I28" s="73">
        <v>4.4096766002519869</v>
      </c>
      <c r="J28" s="73">
        <v>56.774380000000001</v>
      </c>
      <c r="K28" s="73">
        <v>67.877579999999995</v>
      </c>
      <c r="L28" s="64">
        <v>0.69</v>
      </c>
      <c r="M28" s="64">
        <v>1.53</v>
      </c>
      <c r="N28" s="74">
        <f>(E28/0.86)-1</f>
        <v>2.9767441860465116</v>
      </c>
      <c r="O28" s="73" t="s">
        <v>99</v>
      </c>
      <c r="P28" s="75" t="s">
        <v>99</v>
      </c>
      <c r="Q28" s="73" t="s">
        <v>117</v>
      </c>
      <c r="AS28" s="12"/>
      <c r="AT28" s="12"/>
      <c r="AU28" s="12"/>
      <c r="AV28" s="12"/>
      <c r="AW28" s="12"/>
    </row>
    <row r="29" spans="1:49" s="14" customFormat="1" ht="40" customHeight="1">
      <c r="A29" s="12"/>
      <c r="B29" s="12"/>
      <c r="C29" s="78" t="s">
        <v>5</v>
      </c>
      <c r="D29" s="70"/>
      <c r="E29" s="72">
        <f>VLOOKUP(C29,'Pricelist _ Feb 01.2021'!$B$6:$G$88,6,FALSE)</f>
        <v>21.7</v>
      </c>
      <c r="F29" s="73">
        <f t="shared" si="0"/>
        <v>11.599960656354641</v>
      </c>
      <c r="G29" s="73">
        <v>1.2483227016046778</v>
      </c>
      <c r="H29" s="73">
        <v>1.8706959999999999</v>
      </c>
      <c r="I29" s="73">
        <v>2.1648995857008999</v>
      </c>
      <c r="J29" s="73">
        <v>53.321210000000001</v>
      </c>
      <c r="K29" s="73">
        <v>22.759350000000001</v>
      </c>
      <c r="L29" s="64">
        <v>8.5</v>
      </c>
      <c r="M29" s="64">
        <v>22</v>
      </c>
      <c r="N29" s="74">
        <f>(E29/17.6)-1</f>
        <v>0.23295454545454541</v>
      </c>
      <c r="O29" s="73">
        <v>1.1000000000000001</v>
      </c>
      <c r="P29" s="75">
        <f>O29/E29</f>
        <v>5.0691244239631339E-2</v>
      </c>
      <c r="Q29" s="73" t="s">
        <v>117</v>
      </c>
      <c r="AS29" s="12"/>
      <c r="AT29" s="12"/>
      <c r="AU29" s="12"/>
      <c r="AV29" s="12"/>
      <c r="AW29" s="12"/>
    </row>
    <row r="30" spans="1:49" s="14" customFormat="1" ht="40" customHeight="1">
      <c r="A30" s="12"/>
      <c r="B30" s="12"/>
      <c r="C30" s="78" t="s">
        <v>10</v>
      </c>
      <c r="D30" s="70"/>
      <c r="E30" s="72">
        <f>VLOOKUP(C30,'Pricelist _ Feb 01.2021'!$B$6:$G$88,6,FALSE)</f>
        <v>33.6</v>
      </c>
      <c r="F30" s="73">
        <f>E30/H30</f>
        <v>13.176470588235295</v>
      </c>
      <c r="G30" s="73">
        <v>0.50303870059212596</v>
      </c>
      <c r="H30" s="73">
        <v>2.5499999999999998</v>
      </c>
      <c r="I30" s="73" t="s">
        <v>99</v>
      </c>
      <c r="J30" s="73">
        <v>48.81888</v>
      </c>
      <c r="K30" s="73">
        <v>39.377090000000003</v>
      </c>
      <c r="L30" s="64">
        <v>13</v>
      </c>
      <c r="M30" s="64">
        <v>28</v>
      </c>
      <c r="N30" s="74">
        <f>(E30/26)-1</f>
        <v>0.29230769230769238</v>
      </c>
      <c r="O30" s="73">
        <v>1.4</v>
      </c>
      <c r="P30" s="75">
        <f>O30/E30</f>
        <v>4.1666666666666664E-2</v>
      </c>
      <c r="Q30" s="73" t="s">
        <v>118</v>
      </c>
      <c r="AS30" s="12"/>
      <c r="AT30" s="12"/>
      <c r="AU30" s="12"/>
      <c r="AV30" s="12"/>
      <c r="AW30" s="12"/>
    </row>
    <row r="31" spans="1:49" s="14" customFormat="1" ht="40" customHeight="1">
      <c r="A31" s="12"/>
      <c r="B31" s="12"/>
      <c r="C31" s="78" t="s">
        <v>12</v>
      </c>
      <c r="D31" s="70"/>
      <c r="E31" s="72">
        <f>VLOOKUP(C31,'Pricelist _ Feb 01.2021'!$B$6:$G$88,6,FALSE)</f>
        <v>19.149999999999999</v>
      </c>
      <c r="F31" s="73" t="s">
        <v>99</v>
      </c>
      <c r="G31" s="73">
        <v>0.35587193640706793</v>
      </c>
      <c r="H31" s="73">
        <v>-5.74</v>
      </c>
      <c r="I31" s="73">
        <v>3.988345544248582</v>
      </c>
      <c r="J31" s="73">
        <v>49.269889999999997</v>
      </c>
      <c r="K31" s="73">
        <v>47.356740000000002</v>
      </c>
      <c r="L31" s="64">
        <v>12.85</v>
      </c>
      <c r="M31" s="64">
        <v>41.4</v>
      </c>
      <c r="N31" s="74">
        <f>(E31/19)-1</f>
        <v>7.8947368421051767E-3</v>
      </c>
      <c r="O31" s="73">
        <v>1.52</v>
      </c>
      <c r="P31" s="75">
        <f>O31/E31</f>
        <v>7.937336814621411E-2</v>
      </c>
      <c r="Q31" s="73" t="s">
        <v>121</v>
      </c>
      <c r="AS31" s="12"/>
      <c r="AT31" s="12"/>
      <c r="AU31" s="12"/>
      <c r="AV31" s="12"/>
      <c r="AW31" s="12"/>
    </row>
    <row r="32" spans="1:49" s="14" customFormat="1" ht="40" customHeight="1">
      <c r="A32" s="12"/>
      <c r="B32" s="12"/>
      <c r="C32" s="78" t="s">
        <v>51</v>
      </c>
      <c r="D32" s="70"/>
      <c r="E32" s="72">
        <f>VLOOKUP(C32,'Pricelist _ Feb 01.2021'!$B$6:$G$88,6,FALSE)</f>
        <v>6.4</v>
      </c>
      <c r="F32" s="73" t="s">
        <v>99</v>
      </c>
      <c r="G32" s="73">
        <v>0.60384933733143809</v>
      </c>
      <c r="H32" s="73">
        <v>-3.23</v>
      </c>
      <c r="I32" s="73" t="s">
        <v>99</v>
      </c>
      <c r="J32" s="73">
        <v>47.322279999999999</v>
      </c>
      <c r="K32" s="73">
        <v>64.153880000000001</v>
      </c>
      <c r="L32" s="64">
        <v>2.7</v>
      </c>
      <c r="M32" s="64">
        <v>12.24292</v>
      </c>
      <c r="N32" s="74">
        <f>(E32/5.95)-1</f>
        <v>7.5630252100840289E-2</v>
      </c>
      <c r="O32" s="73" t="s">
        <v>99</v>
      </c>
      <c r="P32" s="75" t="s">
        <v>99</v>
      </c>
      <c r="Q32" s="73" t="s">
        <v>117</v>
      </c>
      <c r="AS32" s="12"/>
      <c r="AT32" s="12"/>
      <c r="AU32" s="12"/>
      <c r="AV32" s="12"/>
      <c r="AW32" s="12"/>
    </row>
    <row r="33" spans="1:49" s="14" customFormat="1" ht="40" customHeight="1">
      <c r="A33" s="12"/>
      <c r="B33" s="12"/>
      <c r="C33" s="78" t="s">
        <v>13</v>
      </c>
      <c r="D33" s="70"/>
      <c r="E33" s="72">
        <f>VLOOKUP(C33,'Pricelist _ Feb 01.2021'!$B$6:$G$88,6,FALSE)</f>
        <v>16.2</v>
      </c>
      <c r="F33" s="73">
        <f>E33/H33</f>
        <v>22.11109048622561</v>
      </c>
      <c r="G33" s="73">
        <v>2.1170594797175406</v>
      </c>
      <c r="H33" s="73">
        <v>0.73266399999999998</v>
      </c>
      <c r="I33" s="73">
        <v>4.7909032028995595</v>
      </c>
      <c r="J33" s="73">
        <v>46.891179999999999</v>
      </c>
      <c r="K33" s="73">
        <v>12.98916</v>
      </c>
      <c r="L33" s="64">
        <v>8.5</v>
      </c>
      <c r="M33" s="64">
        <v>17.5</v>
      </c>
      <c r="N33" s="74">
        <f>(E33/14.5)-1</f>
        <v>0.11724137931034484</v>
      </c>
      <c r="O33" s="73">
        <v>0.4</v>
      </c>
      <c r="P33" s="75">
        <f t="shared" ref="P33:P38" si="1">O33/E33</f>
        <v>2.469135802469136E-2</v>
      </c>
      <c r="Q33" s="73" t="s">
        <v>117</v>
      </c>
      <c r="AS33" s="12"/>
      <c r="AT33" s="12"/>
      <c r="AU33" s="12"/>
      <c r="AV33" s="12"/>
      <c r="AW33" s="12"/>
    </row>
    <row r="34" spans="1:49" s="14" customFormat="1" ht="40" customHeight="1">
      <c r="A34" s="12"/>
      <c r="B34" s="12"/>
      <c r="C34" s="78" t="s">
        <v>14</v>
      </c>
      <c r="D34" s="70"/>
      <c r="E34" s="72">
        <f>VLOOKUP(C34,'Pricelist _ Feb 01.2021'!$B$6:$G$88,6,FALSE)</f>
        <v>63</v>
      </c>
      <c r="F34" s="73">
        <f>E34/H34</f>
        <v>31.343283582089555</v>
      </c>
      <c r="G34" s="73">
        <v>1.7082992429498949</v>
      </c>
      <c r="H34" s="73">
        <v>2.0099999999999998</v>
      </c>
      <c r="I34" s="73">
        <v>4.2471805293394658</v>
      </c>
      <c r="J34" s="73">
        <v>58.02196</v>
      </c>
      <c r="K34" s="73">
        <v>31.512280000000001</v>
      </c>
      <c r="L34" s="64">
        <v>22</v>
      </c>
      <c r="M34" s="64">
        <v>63.5</v>
      </c>
      <c r="N34" s="74">
        <f>(E34/56)-1</f>
        <v>0.125</v>
      </c>
      <c r="O34" s="73">
        <v>2.0099999999999998</v>
      </c>
      <c r="P34" s="75">
        <f t="shared" si="1"/>
        <v>3.1904761904761901E-2</v>
      </c>
      <c r="Q34" s="73" t="s">
        <v>117</v>
      </c>
      <c r="AS34" s="12"/>
      <c r="AT34" s="12"/>
      <c r="AU34" s="12"/>
      <c r="AV34" s="12"/>
      <c r="AW34" s="12"/>
    </row>
    <row r="35" spans="1:49" s="14" customFormat="1" ht="40" customHeight="1">
      <c r="A35" s="12"/>
      <c r="B35" s="12"/>
      <c r="C35" s="78" t="s">
        <v>15</v>
      </c>
      <c r="D35" s="70"/>
      <c r="E35" s="72">
        <f>VLOOKUP(C35,'Pricelist _ Feb 01.2021'!$B$6:$G$88,6,FALSE)</f>
        <v>1450</v>
      </c>
      <c r="F35" s="73">
        <f>E35/H35</f>
        <v>25.160506680548323</v>
      </c>
      <c r="G35" s="73">
        <v>29.409092127929416</v>
      </c>
      <c r="H35" s="73">
        <v>57.63</v>
      </c>
      <c r="I35" s="73">
        <v>13.269637617060521</v>
      </c>
      <c r="J35" s="73">
        <v>63.052149999999997</v>
      </c>
      <c r="K35" s="73">
        <v>0</v>
      </c>
      <c r="L35" s="64">
        <v>750</v>
      </c>
      <c r="M35" s="64">
        <v>1469.9</v>
      </c>
      <c r="N35" s="74">
        <f>(E35/1505)-1</f>
        <v>-3.6544850498338888E-2</v>
      </c>
      <c r="O35" s="73">
        <v>70</v>
      </c>
      <c r="P35" s="75">
        <f t="shared" si="1"/>
        <v>4.8275862068965517E-2</v>
      </c>
      <c r="Q35" s="73" t="s">
        <v>117</v>
      </c>
      <c r="AS35" s="12"/>
      <c r="AT35" s="12"/>
      <c r="AU35" s="12"/>
      <c r="AV35" s="12"/>
      <c r="AW35" s="12"/>
    </row>
    <row r="36" spans="1:49" s="14" customFormat="1" ht="40" customHeight="1">
      <c r="A36" s="12"/>
      <c r="B36" s="12"/>
      <c r="C36" s="78" t="s">
        <v>17</v>
      </c>
      <c r="D36" s="70"/>
      <c r="E36" s="72">
        <f>VLOOKUP(C36,'Pricelist _ Feb 01.2021'!$B$6:$G$88,6,FALSE)</f>
        <v>5.85</v>
      </c>
      <c r="F36" s="73">
        <f>E36/H36</f>
        <v>23.4</v>
      </c>
      <c r="G36" s="73">
        <v>0.42846888450760134</v>
      </c>
      <c r="H36" s="73">
        <v>0.25</v>
      </c>
      <c r="I36" s="73" t="s">
        <v>99</v>
      </c>
      <c r="J36" s="73">
        <v>48.052860000000003</v>
      </c>
      <c r="K36" s="73">
        <v>51.148069999999997</v>
      </c>
      <c r="L36" s="64">
        <v>3.75</v>
      </c>
      <c r="M36" s="64">
        <v>7.1</v>
      </c>
      <c r="N36" s="74">
        <f>(E36/5.3)-1</f>
        <v>0.10377358490566024</v>
      </c>
      <c r="O36" s="73">
        <v>0.15</v>
      </c>
      <c r="P36" s="75">
        <f t="shared" si="1"/>
        <v>2.564102564102564E-2</v>
      </c>
      <c r="Q36" s="73" t="s">
        <v>120</v>
      </c>
      <c r="AS36" s="12"/>
      <c r="AT36" s="12"/>
      <c r="AU36" s="12"/>
      <c r="AV36" s="12"/>
      <c r="AW36" s="12"/>
    </row>
    <row r="37" spans="1:49" s="14" customFormat="1" ht="40" customHeight="1">
      <c r="A37" s="12"/>
      <c r="B37" s="12"/>
      <c r="C37" s="78" t="s">
        <v>21</v>
      </c>
      <c r="D37" s="70"/>
      <c r="E37" s="72">
        <f>VLOOKUP(C37,'Pricelist _ Feb 01.2021'!$B$6:$G$110,6,FALSE)</f>
        <v>1.05</v>
      </c>
      <c r="F37" s="73">
        <f>E37/H37</f>
        <v>17.706576728499158</v>
      </c>
      <c r="G37" s="73">
        <v>0.35610441258799325</v>
      </c>
      <c r="H37" s="73">
        <v>5.9299999999999999E-2</v>
      </c>
      <c r="I37" s="73" t="s">
        <v>99</v>
      </c>
      <c r="J37" s="73">
        <v>43.060609999999997</v>
      </c>
      <c r="K37" s="73">
        <v>49.65822</v>
      </c>
      <c r="L37" s="64">
        <v>0.51</v>
      </c>
      <c r="M37" s="64">
        <v>1.35</v>
      </c>
      <c r="N37" s="74">
        <f>(E37/0.9)-1</f>
        <v>0.16666666666666674</v>
      </c>
      <c r="O37" s="73">
        <v>0.01</v>
      </c>
      <c r="P37" s="75">
        <f t="shared" si="1"/>
        <v>9.5238095238095229E-3</v>
      </c>
      <c r="Q37" s="73" t="s">
        <v>117</v>
      </c>
      <c r="AS37" s="12"/>
      <c r="AT37" s="12"/>
      <c r="AU37" s="12"/>
      <c r="AV37" s="12"/>
      <c r="AW37" s="12"/>
    </row>
    <row r="38" spans="1:49" s="14" customFormat="1" ht="40" customHeight="1">
      <c r="A38" s="12"/>
      <c r="B38" s="12"/>
      <c r="C38" s="78" t="s">
        <v>22</v>
      </c>
      <c r="D38" s="70"/>
      <c r="E38" s="72">
        <f>VLOOKUP(C38,'Pricelist _ Feb 01.2021'!$B$6:$G$110,6,FALSE)</f>
        <v>8.9499999999999993</v>
      </c>
      <c r="F38" s="73" t="s">
        <v>99</v>
      </c>
      <c r="G38" s="73">
        <v>0.3243158416045071</v>
      </c>
      <c r="H38" s="73">
        <v>-1.83</v>
      </c>
      <c r="I38" s="73">
        <v>2.5204216381148434</v>
      </c>
      <c r="J38" s="73">
        <v>39.407710000000002</v>
      </c>
      <c r="K38" s="73">
        <v>65.109949999999998</v>
      </c>
      <c r="L38" s="64">
        <v>4.5</v>
      </c>
      <c r="M38" s="64">
        <v>11.15</v>
      </c>
      <c r="N38" s="74">
        <f>(E38/7.25)-1</f>
        <v>0.23448275862068946</v>
      </c>
      <c r="O38" s="73">
        <v>0.1</v>
      </c>
      <c r="P38" s="75">
        <f t="shared" si="1"/>
        <v>1.1173184357541902E-2</v>
      </c>
      <c r="Q38" s="73" t="s">
        <v>117</v>
      </c>
      <c r="AS38" s="12"/>
      <c r="AT38" s="12"/>
      <c r="AU38" s="12"/>
      <c r="AV38" s="12"/>
      <c r="AW38" s="12"/>
    </row>
    <row r="39" spans="1:49" s="14" customFormat="1" ht="40" customHeight="1">
      <c r="A39" s="12"/>
      <c r="B39" s="12"/>
      <c r="C39" s="78" t="s">
        <v>25</v>
      </c>
      <c r="D39" s="70"/>
      <c r="E39" s="72">
        <f>VLOOKUP(C39,'Pricelist _ Feb 01.2021'!$B$6:$G$110,6,FALSE)</f>
        <v>13.5</v>
      </c>
      <c r="F39" s="73" t="s">
        <v>99</v>
      </c>
      <c r="G39" s="73">
        <v>1.3055002240747</v>
      </c>
      <c r="H39" s="73">
        <v>-1.29</v>
      </c>
      <c r="I39" s="73" t="s">
        <v>99</v>
      </c>
      <c r="J39" s="73">
        <v>59.519109999999998</v>
      </c>
      <c r="K39" s="73">
        <v>58.421199999999999</v>
      </c>
      <c r="L39" s="64">
        <v>9.9</v>
      </c>
      <c r="M39" s="64">
        <v>29.5</v>
      </c>
      <c r="N39" s="74">
        <f>(E39/13.9)-1</f>
        <v>-2.877697841726623E-2</v>
      </c>
      <c r="O39" s="73" t="s">
        <v>99</v>
      </c>
      <c r="P39" s="75" t="s">
        <v>99</v>
      </c>
      <c r="Q39" s="73" t="s">
        <v>117</v>
      </c>
      <c r="AS39" s="12"/>
      <c r="AT39" s="12"/>
      <c r="AU39" s="12"/>
      <c r="AV39" s="12"/>
      <c r="AW39" s="12"/>
    </row>
    <row r="40" spans="1:49" s="14" customFormat="1" ht="34.5" customHeight="1">
      <c r="A40" s="12"/>
      <c r="B40" s="12"/>
      <c r="C40" s="66"/>
      <c r="D40" s="67"/>
      <c r="E40" s="38"/>
      <c r="F40" s="38"/>
      <c r="G40" s="38"/>
      <c r="H40" s="38"/>
      <c r="I40" s="38"/>
      <c r="J40" s="38"/>
      <c r="K40" s="38"/>
      <c r="L40" s="38"/>
      <c r="M40" s="68"/>
      <c r="N40" s="69"/>
      <c r="O40" s="38"/>
      <c r="P40" s="69"/>
      <c r="Q40" s="63"/>
      <c r="AS40" s="12"/>
      <c r="AT40" s="12"/>
      <c r="AU40" s="12"/>
      <c r="AV40" s="12"/>
      <c r="AW40" s="12"/>
    </row>
    <row r="41" spans="1:49" s="14" customFormat="1" ht="37.5" customHeight="1">
      <c r="A41" s="12"/>
      <c r="B41" s="12"/>
      <c r="C41" s="79" t="s">
        <v>114</v>
      </c>
      <c r="D41" s="53"/>
      <c r="E41" s="64" t="s">
        <v>81</v>
      </c>
      <c r="F41" s="64" t="s">
        <v>106</v>
      </c>
      <c r="G41" s="64" t="s">
        <v>123</v>
      </c>
      <c r="H41" s="64" t="s">
        <v>83</v>
      </c>
      <c r="I41" s="64" t="s">
        <v>84</v>
      </c>
      <c r="J41" s="65" t="s">
        <v>85</v>
      </c>
      <c r="K41" s="64" t="s">
        <v>124</v>
      </c>
      <c r="L41" s="65" t="s">
        <v>130</v>
      </c>
      <c r="M41" s="65" t="s">
        <v>131</v>
      </c>
      <c r="N41" s="65" t="s">
        <v>107</v>
      </c>
      <c r="O41" s="64" t="s">
        <v>125</v>
      </c>
      <c r="P41" s="64" t="s">
        <v>126</v>
      </c>
      <c r="Q41" s="64" t="s">
        <v>127</v>
      </c>
      <c r="AS41" s="12"/>
      <c r="AT41" s="12"/>
      <c r="AU41" s="12"/>
      <c r="AV41" s="12"/>
      <c r="AW41" s="12"/>
    </row>
    <row r="42" spans="1:49" s="14" customFormat="1" ht="40" customHeight="1">
      <c r="A42" s="12"/>
      <c r="B42" s="12"/>
      <c r="C42" s="78" t="s">
        <v>59</v>
      </c>
      <c r="D42" s="70"/>
      <c r="E42" s="72">
        <f>VLOOKUP(C42,'Pricelist _ Feb 01.2021'!$B$6:$G$88,6,FALSE)</f>
        <v>8.0500000000000007</v>
      </c>
      <c r="F42" s="73">
        <f>E42/H42</f>
        <v>5.1935483870967749</v>
      </c>
      <c r="G42" s="73">
        <v>0.57051861444310392</v>
      </c>
      <c r="H42" s="73">
        <v>1.55</v>
      </c>
      <c r="I42" s="73">
        <v>2.6094173593779999</v>
      </c>
      <c r="J42" s="73">
        <v>37.333320000000001</v>
      </c>
      <c r="K42" s="73">
        <v>42.881129999999999</v>
      </c>
      <c r="L42" s="64">
        <v>5.5</v>
      </c>
      <c r="M42" s="64">
        <v>7.7</v>
      </c>
      <c r="N42" s="74">
        <f>(E42/7.35)-1</f>
        <v>9.5238095238095344E-2</v>
      </c>
      <c r="O42" s="73">
        <v>0.25</v>
      </c>
      <c r="P42" s="75">
        <f>O42/E42</f>
        <v>3.1055900621118009E-2</v>
      </c>
      <c r="Q42" s="73" t="s">
        <v>117</v>
      </c>
      <c r="AS42" s="12"/>
      <c r="AT42" s="12"/>
      <c r="AU42" s="12"/>
      <c r="AV42" s="12"/>
      <c r="AW42" s="12"/>
    </row>
    <row r="43" spans="1:49" s="14" customFormat="1" ht="40" customHeight="1">
      <c r="A43" s="12"/>
      <c r="B43" s="12"/>
      <c r="C43" s="78" t="s">
        <v>79</v>
      </c>
      <c r="D43" s="70"/>
      <c r="E43" s="72">
        <f>VLOOKUP(C43,'Pricelist _ Feb 01.2021'!$B$6:$G$88,6,FALSE)</f>
        <v>55.4</v>
      </c>
      <c r="F43" s="73">
        <f t="shared" ref="F43:F50" si="2">E43/H43</f>
        <v>4.9641577060931894</v>
      </c>
      <c r="G43" s="73">
        <v>0.77190657810452024</v>
      </c>
      <c r="H43" s="73">
        <v>11.16</v>
      </c>
      <c r="I43" s="73">
        <v>3.0514097723657128</v>
      </c>
      <c r="J43" s="73">
        <v>1.283379</v>
      </c>
      <c r="K43" s="73">
        <v>31.520510000000002</v>
      </c>
      <c r="L43" s="64">
        <v>48.45</v>
      </c>
      <c r="M43" s="64">
        <v>70</v>
      </c>
      <c r="N43" s="74">
        <f>(E43/55.4)-1</f>
        <v>0</v>
      </c>
      <c r="O43" s="73">
        <v>1.67</v>
      </c>
      <c r="P43" s="75">
        <f>O43/E43</f>
        <v>3.0144404332129962E-2</v>
      </c>
      <c r="Q43" s="73" t="s">
        <v>117</v>
      </c>
      <c r="AS43" s="12"/>
      <c r="AT43" s="12"/>
      <c r="AU43" s="12"/>
      <c r="AV43" s="12"/>
      <c r="AW43" s="12"/>
    </row>
    <row r="44" spans="1:49" s="14" customFormat="1" ht="40" customHeight="1">
      <c r="A44" s="12"/>
      <c r="B44" s="12"/>
      <c r="C44" s="78" t="s">
        <v>71</v>
      </c>
      <c r="D44" s="70"/>
      <c r="E44" s="72">
        <f>VLOOKUP(C44,'Pricelist _ Feb 01.2021'!$B$6:$G$88,6,FALSE)</f>
        <v>79</v>
      </c>
      <c r="F44" s="73">
        <f t="shared" si="2"/>
        <v>44.134078212290504</v>
      </c>
      <c r="G44" s="73">
        <v>3.7244554084355688</v>
      </c>
      <c r="H44" s="73">
        <v>1.79</v>
      </c>
      <c r="I44" s="73" t="s">
        <v>99</v>
      </c>
      <c r="J44" s="73">
        <v>52.509929999999997</v>
      </c>
      <c r="K44" s="73">
        <v>18.696000000000002</v>
      </c>
      <c r="L44" s="64">
        <v>27.65</v>
      </c>
      <c r="M44" s="64">
        <v>56</v>
      </c>
      <c r="N44" s="74">
        <f>(E44/77.35)-1</f>
        <v>2.1331609566903831E-2</v>
      </c>
      <c r="O44" s="73">
        <v>1.75</v>
      </c>
      <c r="P44" s="75">
        <f>O44/E44</f>
        <v>2.2151898734177215E-2</v>
      </c>
      <c r="Q44" s="73" t="s">
        <v>117</v>
      </c>
      <c r="AS44" s="12"/>
      <c r="AT44" s="12"/>
      <c r="AU44" s="12"/>
      <c r="AV44" s="12"/>
      <c r="AW44" s="12"/>
    </row>
    <row r="45" spans="1:49" s="14" customFormat="1" ht="40" customHeight="1">
      <c r="A45" s="12"/>
      <c r="B45" s="12"/>
      <c r="C45" s="78" t="s">
        <v>69</v>
      </c>
      <c r="D45" s="70"/>
      <c r="E45" s="72">
        <f>VLOOKUP(C45,'Pricelist _ Feb 01.2021'!$B$6:$G$88,6,FALSE)</f>
        <v>20</v>
      </c>
      <c r="F45" s="73">
        <f t="shared" si="2"/>
        <v>7.8431372549019613</v>
      </c>
      <c r="G45" s="73">
        <v>3.7360049338457477</v>
      </c>
      <c r="H45" s="73">
        <v>2.5499999999999998</v>
      </c>
      <c r="I45" s="73">
        <v>4.9314545783832928</v>
      </c>
      <c r="J45" s="73">
        <v>33.508839999999999</v>
      </c>
      <c r="K45" s="73">
        <v>71.566630000000004</v>
      </c>
      <c r="L45" s="64">
        <v>15.25</v>
      </c>
      <c r="M45" s="64">
        <v>27.5</v>
      </c>
      <c r="N45" s="74">
        <f>(E45/20)-1</f>
        <v>0</v>
      </c>
      <c r="O45" s="73" t="s">
        <v>99</v>
      </c>
      <c r="P45" s="75" t="s">
        <v>99</v>
      </c>
      <c r="Q45" s="73" t="s">
        <v>117</v>
      </c>
      <c r="AS45" s="12"/>
      <c r="AT45" s="12"/>
      <c r="AU45" s="12"/>
      <c r="AV45" s="12"/>
      <c r="AW45" s="12"/>
    </row>
    <row r="46" spans="1:49" s="14" customFormat="1" ht="40" customHeight="1">
      <c r="A46" s="12"/>
      <c r="B46" s="12"/>
      <c r="C46" s="78" t="s">
        <v>66</v>
      </c>
      <c r="D46" s="70"/>
      <c r="E46" s="72">
        <f>VLOOKUP(C46,'Pricelist _ Feb 01.2021'!$B$6:$G$88,6,FALSE)</f>
        <v>2.2999999999999998</v>
      </c>
      <c r="F46" s="73">
        <f t="shared" si="2"/>
        <v>12.777777777777777</v>
      </c>
      <c r="G46" s="73">
        <v>1.6491417256229264</v>
      </c>
      <c r="H46" s="73">
        <v>0.18</v>
      </c>
      <c r="I46" s="73">
        <v>2.4313618907366608</v>
      </c>
      <c r="J46" s="73">
        <v>53.350549999999998</v>
      </c>
      <c r="K46" s="73">
        <v>66.653769999999994</v>
      </c>
      <c r="L46" s="64">
        <v>1.1599999999999999</v>
      </c>
      <c r="M46" s="64">
        <v>1.92</v>
      </c>
      <c r="N46" s="74">
        <f>(E46/2.3)-1</f>
        <v>0</v>
      </c>
      <c r="O46" s="73">
        <v>2.4E-2</v>
      </c>
      <c r="P46" s="75">
        <f t="shared" ref="P46:P51" si="3">O46/E46</f>
        <v>1.0434782608695653E-2</v>
      </c>
      <c r="Q46" s="73" t="s">
        <v>119</v>
      </c>
      <c r="AS46" s="12"/>
      <c r="AT46" s="12"/>
      <c r="AU46" s="12"/>
      <c r="AV46" s="12"/>
      <c r="AW46" s="12"/>
    </row>
    <row r="47" spans="1:49" s="14" customFormat="1" ht="40" customHeight="1">
      <c r="A47" s="12"/>
      <c r="B47" s="12"/>
      <c r="C47" s="78" t="s">
        <v>4</v>
      </c>
      <c r="D47" s="70"/>
      <c r="E47" s="72">
        <f>VLOOKUP(C47,'Pricelist _ Feb 01.2021'!$B$6:$G$88,6,FALSE)</f>
        <v>236</v>
      </c>
      <c r="F47" s="73">
        <f t="shared" si="2"/>
        <v>20.01696352841391</v>
      </c>
      <c r="G47" s="73">
        <v>3.134717590101558</v>
      </c>
      <c r="H47" s="73">
        <v>11.79</v>
      </c>
      <c r="I47" s="73">
        <v>6.485344351863418</v>
      </c>
      <c r="J47" s="73">
        <v>47.939219999999999</v>
      </c>
      <c r="K47" s="73">
        <v>37.14161</v>
      </c>
      <c r="L47" s="64">
        <v>116</v>
      </c>
      <c r="M47" s="64">
        <v>200</v>
      </c>
      <c r="N47" s="74">
        <f>(E47/244.9)-1</f>
        <v>-3.6341363821968176E-2</v>
      </c>
      <c r="O47" s="73">
        <v>16</v>
      </c>
      <c r="P47" s="75">
        <f t="shared" si="3"/>
        <v>6.7796610169491525E-2</v>
      </c>
      <c r="Q47" s="73" t="s">
        <v>117</v>
      </c>
      <c r="AS47" s="12"/>
      <c r="AT47" s="12"/>
      <c r="AU47" s="12"/>
      <c r="AV47" s="12"/>
      <c r="AW47" s="12"/>
    </row>
    <row r="48" spans="1:49" s="14" customFormat="1" ht="40" customHeight="1">
      <c r="A48" s="12"/>
      <c r="B48" s="12"/>
      <c r="C48" s="78" t="s">
        <v>44</v>
      </c>
      <c r="D48" s="70"/>
      <c r="E48" s="72">
        <f>VLOOKUP(C48,'Pricelist _ Feb 01.2021'!$B$6:$G$88,6,FALSE)</f>
        <v>21</v>
      </c>
      <c r="F48" s="73">
        <f t="shared" si="2"/>
        <v>3.7974620596620468</v>
      </c>
      <c r="G48" s="73">
        <v>0.71514014468202947</v>
      </c>
      <c r="H48" s="73">
        <v>5.5300091666666669</v>
      </c>
      <c r="I48" s="73" t="s">
        <v>99</v>
      </c>
      <c r="J48" s="73">
        <v>48.238529999999997</v>
      </c>
      <c r="K48" s="73">
        <v>49.472589999999997</v>
      </c>
      <c r="L48" s="64">
        <v>14.41667</v>
      </c>
      <c r="M48" s="64">
        <v>22.91667</v>
      </c>
      <c r="N48" s="74">
        <f>(E48/17.8)-1</f>
        <v>0.1797752808988764</v>
      </c>
      <c r="O48" s="73">
        <v>1.6666669999999999</v>
      </c>
      <c r="P48" s="75">
        <f t="shared" si="3"/>
        <v>7.9365095238095235E-2</v>
      </c>
      <c r="Q48" s="73" t="s">
        <v>117</v>
      </c>
      <c r="AS48" s="12"/>
      <c r="AT48" s="12"/>
      <c r="AU48" s="12"/>
      <c r="AV48" s="12"/>
      <c r="AW48" s="12"/>
    </row>
    <row r="49" spans="1:49" s="14" customFormat="1" ht="40" customHeight="1">
      <c r="A49" s="12"/>
      <c r="B49" s="12"/>
      <c r="C49" s="78" t="s">
        <v>40</v>
      </c>
      <c r="D49" s="70"/>
      <c r="E49" s="72">
        <f>VLOOKUP(C49,'Pricelist _ Feb 01.2021'!$B$6:$G$88,6,FALSE)</f>
        <v>2.1800000000000002</v>
      </c>
      <c r="F49" s="73">
        <f t="shared" si="2"/>
        <v>3.40625</v>
      </c>
      <c r="G49" s="73">
        <v>0.50136631859897862</v>
      </c>
      <c r="H49" s="73">
        <v>0.64</v>
      </c>
      <c r="I49" s="73">
        <v>2.5204484823892108</v>
      </c>
      <c r="J49" s="73">
        <v>44.64378</v>
      </c>
      <c r="K49" s="73">
        <v>44.322980000000001</v>
      </c>
      <c r="L49" s="64">
        <v>1.9</v>
      </c>
      <c r="M49" s="64">
        <v>3.01</v>
      </c>
      <c r="N49" s="74">
        <f>(E49/2.3)-1</f>
        <v>-5.2173913043478071E-2</v>
      </c>
      <c r="O49" s="73">
        <v>0.3</v>
      </c>
      <c r="P49" s="75">
        <f t="shared" si="3"/>
        <v>0.13761467889908255</v>
      </c>
      <c r="Q49" s="73" t="s">
        <v>117</v>
      </c>
      <c r="AS49" s="12"/>
      <c r="AT49" s="12"/>
      <c r="AU49" s="12"/>
      <c r="AV49" s="12"/>
      <c r="AW49" s="12"/>
    </row>
    <row r="50" spans="1:49" s="14" customFormat="1" ht="40" customHeight="1">
      <c r="A50" s="12"/>
      <c r="B50" s="12"/>
      <c r="C50" s="78" t="s">
        <v>49</v>
      </c>
      <c r="D50" s="70"/>
      <c r="E50" s="72" t="e">
        <f>VLOOKUP(C50,'Pricelist _ Feb 01.2021'!$B$6:$G$110,6,FALSE)</f>
        <v>#N/A</v>
      </c>
      <c r="F50" s="73" t="e">
        <f t="shared" si="2"/>
        <v>#N/A</v>
      </c>
      <c r="G50" s="73">
        <v>0.93764606173345211</v>
      </c>
      <c r="H50" s="73">
        <v>1.82</v>
      </c>
      <c r="I50" s="73">
        <v>1.6056297467179113</v>
      </c>
      <c r="J50" s="73">
        <v>50.664070000000002</v>
      </c>
      <c r="K50" s="73">
        <v>37.268889999999999</v>
      </c>
      <c r="L50" s="64">
        <v>3.5</v>
      </c>
      <c r="M50" s="64">
        <v>7</v>
      </c>
      <c r="N50" s="74" t="e">
        <f>(E50/7.8)-1</f>
        <v>#N/A</v>
      </c>
      <c r="O50" s="73">
        <v>0.42</v>
      </c>
      <c r="P50" s="75" t="e">
        <f t="shared" si="3"/>
        <v>#N/A</v>
      </c>
      <c r="Q50" s="73" t="s">
        <v>122</v>
      </c>
      <c r="AS50" s="12"/>
      <c r="AT50" s="12"/>
      <c r="AU50" s="12"/>
      <c r="AV50" s="12"/>
      <c r="AW50" s="12"/>
    </row>
    <row r="51" spans="1:49" s="14" customFormat="1" ht="40" customHeight="1">
      <c r="A51" s="12"/>
      <c r="B51" s="12"/>
      <c r="C51" s="78" t="s">
        <v>26</v>
      </c>
      <c r="D51" s="70"/>
      <c r="E51" s="72" t="e">
        <f>VLOOKUP(C51,'Pricelist _ Feb 01.2021'!$B$6:$G$110,6,FALSE)</f>
        <v>#N/A</v>
      </c>
      <c r="F51" s="73" t="e">
        <f>E51/H51</f>
        <v>#N/A</v>
      </c>
      <c r="G51" s="73">
        <v>0.52833374504227582</v>
      </c>
      <c r="H51" s="73">
        <v>7.15</v>
      </c>
      <c r="I51" s="73">
        <v>2.4702429553859093</v>
      </c>
      <c r="J51" s="73">
        <v>51.269309999999997</v>
      </c>
      <c r="K51" s="73">
        <v>30.69999</v>
      </c>
      <c r="L51" s="64">
        <v>8.9499999999999993</v>
      </c>
      <c r="M51" s="64">
        <v>25</v>
      </c>
      <c r="N51" s="74" t="e">
        <f>(E51/21.05)-1</f>
        <v>#N/A</v>
      </c>
      <c r="O51" s="73">
        <v>1</v>
      </c>
      <c r="P51" s="75" t="e">
        <f t="shared" si="3"/>
        <v>#N/A</v>
      </c>
      <c r="Q51" s="73" t="s">
        <v>117</v>
      </c>
      <c r="AS51" s="12"/>
      <c r="AT51" s="12"/>
      <c r="AU51" s="12"/>
      <c r="AV51" s="12"/>
      <c r="AW51" s="12"/>
    </row>
    <row r="52" spans="1:49" s="14" customFormat="1" ht="36" customHeight="1">
      <c r="A52" s="12"/>
      <c r="B52" s="12"/>
      <c r="C52" s="80"/>
      <c r="D52" s="67"/>
      <c r="E52" s="38"/>
      <c r="F52" s="38"/>
      <c r="G52" s="38"/>
      <c r="H52" s="38"/>
      <c r="I52" s="38"/>
      <c r="J52" s="38"/>
      <c r="K52" s="38"/>
      <c r="L52" s="38"/>
      <c r="M52" s="68"/>
      <c r="N52" s="69"/>
      <c r="O52" s="38"/>
      <c r="P52" s="69"/>
      <c r="Q52" s="63"/>
      <c r="AS52" s="12"/>
      <c r="AT52" s="12"/>
      <c r="AU52" s="12"/>
      <c r="AV52" s="12"/>
      <c r="AW52" s="12"/>
    </row>
    <row r="53" spans="1:49" s="14" customFormat="1" ht="35.25" customHeight="1">
      <c r="A53" s="12"/>
      <c r="B53" s="12"/>
      <c r="C53" s="79" t="s">
        <v>101</v>
      </c>
      <c r="D53" s="53"/>
      <c r="E53" s="64" t="s">
        <v>81</v>
      </c>
      <c r="F53" s="64" t="s">
        <v>106</v>
      </c>
      <c r="G53" s="64" t="s">
        <v>123</v>
      </c>
      <c r="H53" s="64" t="s">
        <v>83</v>
      </c>
      <c r="I53" s="64" t="s">
        <v>84</v>
      </c>
      <c r="J53" s="65" t="s">
        <v>85</v>
      </c>
      <c r="K53" s="64" t="s">
        <v>124</v>
      </c>
      <c r="L53" s="65" t="s">
        <v>130</v>
      </c>
      <c r="M53" s="65" t="s">
        <v>131</v>
      </c>
      <c r="N53" s="65" t="s">
        <v>107</v>
      </c>
      <c r="O53" s="64" t="s">
        <v>125</v>
      </c>
      <c r="P53" s="64" t="s">
        <v>126</v>
      </c>
      <c r="Q53" s="64" t="s">
        <v>127</v>
      </c>
      <c r="AS53" s="12"/>
      <c r="AT53" s="12"/>
      <c r="AU53" s="12"/>
      <c r="AV53" s="12"/>
      <c r="AW53" s="12"/>
    </row>
    <row r="54" spans="1:49" s="14" customFormat="1" ht="40" customHeight="1">
      <c r="A54" s="12"/>
      <c r="B54" s="12"/>
      <c r="C54" s="78" t="s">
        <v>60</v>
      </c>
      <c r="D54" s="70"/>
      <c r="E54" s="72">
        <f>VLOOKUP(C54,'Pricelist _ Feb 01.2021'!$B$6:$G$88,6,FALSE)</f>
        <v>19.05</v>
      </c>
      <c r="F54" s="73">
        <f t="shared" ref="F54:F59" si="4">E54/H54</f>
        <v>6.3500000000000005</v>
      </c>
      <c r="G54" s="73">
        <v>0.96147097096090151</v>
      </c>
      <c r="H54" s="73">
        <v>3</v>
      </c>
      <c r="I54" s="73">
        <v>3.7579265665492918</v>
      </c>
      <c r="J54" s="73">
        <v>46.701659999999997</v>
      </c>
      <c r="K54" s="73">
        <v>61.874049999999997</v>
      </c>
      <c r="L54" s="64">
        <v>9.4</v>
      </c>
      <c r="M54" s="64">
        <v>20.6</v>
      </c>
      <c r="N54" s="74">
        <f>(E54/13.55)-1</f>
        <v>0.40590405904059046</v>
      </c>
      <c r="O54" s="73" t="s">
        <v>99</v>
      </c>
      <c r="P54" s="75" t="s">
        <v>99</v>
      </c>
      <c r="Q54" s="73" t="s">
        <v>117</v>
      </c>
      <c r="AS54" s="12"/>
      <c r="AT54" s="12"/>
      <c r="AU54" s="12"/>
      <c r="AV54" s="12"/>
      <c r="AW54" s="12"/>
    </row>
    <row r="55" spans="1:49" s="14" customFormat="1" ht="40" customHeight="1">
      <c r="A55" s="12"/>
      <c r="B55" s="12"/>
      <c r="C55" s="78" t="s">
        <v>55</v>
      </c>
      <c r="D55" s="70"/>
      <c r="E55" s="72">
        <f>VLOOKUP(C55,'Pricelist _ Feb 01.2021'!$B$6:$G$88,6,FALSE)</f>
        <v>21</v>
      </c>
      <c r="F55" s="73">
        <f t="shared" si="4"/>
        <v>7.3426573426573434</v>
      </c>
      <c r="G55" s="73">
        <v>0.53430964481696752</v>
      </c>
      <c r="H55" s="73">
        <v>2.86</v>
      </c>
      <c r="I55" s="73">
        <v>4.6015904395512406</v>
      </c>
      <c r="J55" s="73">
        <v>16.756519999999998</v>
      </c>
      <c r="K55" s="73">
        <v>30.761130000000001</v>
      </c>
      <c r="L55" s="64">
        <v>13.15</v>
      </c>
      <c r="M55" s="64">
        <v>21</v>
      </c>
      <c r="N55" s="74">
        <f>(E55/20.85)-1</f>
        <v>7.194244604316502E-3</v>
      </c>
      <c r="O55" s="73">
        <v>2</v>
      </c>
      <c r="P55" s="75">
        <f>(O55/E55)</f>
        <v>9.5238095238095233E-2</v>
      </c>
      <c r="Q55" s="73" t="s">
        <v>117</v>
      </c>
      <c r="AS55" s="12"/>
      <c r="AT55" s="12"/>
      <c r="AU55" s="12"/>
      <c r="AV55" s="12"/>
      <c r="AW55" s="12"/>
    </row>
    <row r="56" spans="1:49" s="14" customFormat="1" ht="40" customHeight="1">
      <c r="A56" s="12"/>
      <c r="B56" s="12"/>
      <c r="C56" s="78" t="s">
        <v>39</v>
      </c>
      <c r="D56" s="70"/>
      <c r="E56" s="72">
        <f>VLOOKUP(C56,'Pricelist _ Feb 01.2021'!$B$6:$G$88,6,FALSE)</f>
        <v>5.2</v>
      </c>
      <c r="F56" s="73">
        <f t="shared" si="4"/>
        <v>74.285714285714278</v>
      </c>
      <c r="G56" s="73">
        <v>0.20078013801425437</v>
      </c>
      <c r="H56" s="73">
        <v>7.0000000000000007E-2</v>
      </c>
      <c r="I56" s="73">
        <v>3.4410638049760434</v>
      </c>
      <c r="J56" s="73">
        <v>34.658070000000002</v>
      </c>
      <c r="K56" s="73">
        <v>52.972450000000002</v>
      </c>
      <c r="L56" s="64">
        <v>1.8</v>
      </c>
      <c r="M56" s="64">
        <v>5.5</v>
      </c>
      <c r="N56" s="74">
        <f>(E56/5.1)-1</f>
        <v>1.9607843137255054E-2</v>
      </c>
      <c r="O56" s="73" t="s">
        <v>99</v>
      </c>
      <c r="P56" s="75" t="s">
        <v>99</v>
      </c>
      <c r="Q56" s="73" t="s">
        <v>117</v>
      </c>
      <c r="AS56" s="12"/>
      <c r="AT56" s="12"/>
      <c r="AU56" s="12"/>
      <c r="AV56" s="12"/>
      <c r="AW56" s="12"/>
    </row>
    <row r="57" spans="1:49" s="14" customFormat="1" ht="40" customHeight="1">
      <c r="A57" s="12"/>
      <c r="B57" s="12"/>
      <c r="C57" s="78" t="s">
        <v>29</v>
      </c>
      <c r="D57" s="70"/>
      <c r="E57" s="72">
        <f>VLOOKUP(C57,'Pricelist _ Feb 01.2021'!$B$6:$G$88,6,FALSE)</f>
        <v>228</v>
      </c>
      <c r="F57" s="73">
        <f t="shared" si="4"/>
        <v>9.2546199225014885</v>
      </c>
      <c r="G57" s="73">
        <v>1.4953665858605965</v>
      </c>
      <c r="H57" s="73">
        <v>24.636344000000001</v>
      </c>
      <c r="I57" s="73">
        <v>4.9986765468916188</v>
      </c>
      <c r="J57" s="73">
        <v>41.478789999999996</v>
      </c>
      <c r="K57" s="73">
        <v>2.7502</v>
      </c>
      <c r="L57" s="64">
        <v>126</v>
      </c>
      <c r="M57" s="64">
        <v>213.9</v>
      </c>
      <c r="N57" s="74">
        <f>(E57/228)-1</f>
        <v>0</v>
      </c>
      <c r="O57" s="73">
        <v>8.25</v>
      </c>
      <c r="P57" s="75">
        <f>(O57/E57)</f>
        <v>3.6184210526315791E-2</v>
      </c>
      <c r="Q57" s="73" t="s">
        <v>117</v>
      </c>
      <c r="AS57" s="12"/>
      <c r="AT57" s="12"/>
      <c r="AU57" s="12"/>
      <c r="AV57" s="12"/>
      <c r="AW57" s="12"/>
    </row>
    <row r="58" spans="1:49" s="14" customFormat="1" ht="40" customHeight="1">
      <c r="A58" s="12"/>
      <c r="B58" s="12"/>
      <c r="C58" s="78" t="s">
        <v>46</v>
      </c>
      <c r="D58" s="70"/>
      <c r="E58" s="72">
        <f>VLOOKUP(C58,'Pricelist _ Feb 01.2021'!$B$6:$G$88,6,FALSE)</f>
        <v>3.15</v>
      </c>
      <c r="F58" s="73">
        <f t="shared" si="4"/>
        <v>1.5989847715736041</v>
      </c>
      <c r="G58" s="73">
        <v>0.13974209073036253</v>
      </c>
      <c r="H58" s="73">
        <v>1.97</v>
      </c>
      <c r="I58" s="73">
        <v>6.751009483413978</v>
      </c>
      <c r="J58" s="73">
        <v>48.071910000000003</v>
      </c>
      <c r="K58" s="73">
        <v>50.32302</v>
      </c>
      <c r="L58" s="64">
        <v>1.89</v>
      </c>
      <c r="M58" s="64">
        <v>4.0999999999999996</v>
      </c>
      <c r="N58" s="74">
        <f>(E58/3.7)-1</f>
        <v>-0.14864864864864868</v>
      </c>
      <c r="O58" s="73" t="s">
        <v>99</v>
      </c>
      <c r="P58" s="75" t="s">
        <v>99</v>
      </c>
      <c r="Q58" s="73" t="s">
        <v>117</v>
      </c>
      <c r="AS58" s="12"/>
      <c r="AT58" s="12"/>
      <c r="AU58" s="12"/>
      <c r="AV58" s="12"/>
      <c r="AW58" s="12"/>
    </row>
    <row r="59" spans="1:49" s="14" customFormat="1" ht="40" customHeight="1">
      <c r="A59" s="12"/>
      <c r="B59" s="12"/>
      <c r="C59" s="78" t="s">
        <v>53</v>
      </c>
      <c r="D59" s="70"/>
      <c r="E59" s="72">
        <f>VLOOKUP(C59,'Pricelist _ Feb 01.2021'!$B$6:$G$110,6,FALSE)</f>
        <v>495</v>
      </c>
      <c r="F59" s="73">
        <f t="shared" si="4"/>
        <v>1010.2040816326531</v>
      </c>
      <c r="G59" s="73">
        <v>0.33838648508063462</v>
      </c>
      <c r="H59" s="73">
        <v>0.49</v>
      </c>
      <c r="I59" s="73">
        <v>7.7812810524626643</v>
      </c>
      <c r="J59" s="73">
        <v>45.709949999999999</v>
      </c>
      <c r="K59" s="73">
        <v>74.438509999999994</v>
      </c>
      <c r="L59" s="64">
        <v>282</v>
      </c>
      <c r="M59" s="64">
        <v>657.8</v>
      </c>
      <c r="N59" s="74">
        <f>(E59/402.3)-1</f>
        <v>0.23042505592841156</v>
      </c>
      <c r="O59" s="73">
        <v>37.5</v>
      </c>
      <c r="P59" s="75">
        <f>(O59/E59)</f>
        <v>7.575757575757576E-2</v>
      </c>
      <c r="Q59" s="73" t="s">
        <v>117</v>
      </c>
      <c r="AS59" s="12"/>
      <c r="AT59" s="12"/>
      <c r="AU59" s="12"/>
      <c r="AV59" s="12"/>
      <c r="AW59" s="12"/>
    </row>
    <row r="60" spans="1:49" s="14" customFormat="1" ht="40" customHeight="1">
      <c r="A60" s="12"/>
      <c r="B60" s="12"/>
      <c r="C60" s="78" t="s">
        <v>20</v>
      </c>
      <c r="D60" s="70"/>
      <c r="E60" s="72">
        <f>VLOOKUP(C60,'Pricelist _ Feb 01.2021'!$B$6:$G$110,6,FALSE)</f>
        <v>143</v>
      </c>
      <c r="F60" s="73">
        <f>E60/H60</f>
        <v>21.311475409836067</v>
      </c>
      <c r="G60" s="73">
        <v>1.0648801155798917</v>
      </c>
      <c r="H60" s="73">
        <v>6.71</v>
      </c>
      <c r="I60" s="73">
        <v>4.7991855033015369</v>
      </c>
      <c r="J60" s="73">
        <v>12.210229999999999</v>
      </c>
      <c r="K60" s="73">
        <v>43.78745</v>
      </c>
      <c r="L60" s="64">
        <v>78</v>
      </c>
      <c r="M60" s="64">
        <v>130</v>
      </c>
      <c r="N60" s="74">
        <f>(E60/130)-1</f>
        <v>0.10000000000000009</v>
      </c>
      <c r="O60" s="73">
        <v>6.71</v>
      </c>
      <c r="P60" s="75">
        <f>(O60/E60)</f>
        <v>4.6923076923076922E-2</v>
      </c>
      <c r="Q60" s="73" t="s">
        <v>117</v>
      </c>
      <c r="AS60" s="12"/>
      <c r="AT60" s="12"/>
      <c r="AU60" s="12"/>
      <c r="AV60" s="12"/>
      <c r="AW60" s="12"/>
    </row>
    <row r="61" spans="1:49" s="14" customFormat="1" ht="36" customHeight="1">
      <c r="A61" s="12"/>
      <c r="B61" s="12"/>
      <c r="C61" s="80"/>
      <c r="D61" s="67"/>
      <c r="E61" s="38"/>
      <c r="F61" s="38"/>
      <c r="G61" s="38"/>
      <c r="H61" s="38"/>
      <c r="I61" s="38"/>
      <c r="J61" s="38"/>
      <c r="K61" s="38"/>
      <c r="L61" s="38"/>
      <c r="M61" s="68"/>
      <c r="N61" s="69"/>
      <c r="O61" s="38"/>
      <c r="P61" s="69"/>
      <c r="Q61" s="63"/>
      <c r="AS61" s="12"/>
      <c r="AT61" s="12"/>
      <c r="AU61" s="12"/>
      <c r="AV61" s="12"/>
      <c r="AW61" s="12"/>
    </row>
    <row r="62" spans="1:49" s="14" customFormat="1" ht="36.75" customHeight="1">
      <c r="A62" s="12"/>
      <c r="B62" s="12"/>
      <c r="C62" s="79" t="s">
        <v>102</v>
      </c>
      <c r="D62" s="53"/>
      <c r="E62" s="64" t="s">
        <v>81</v>
      </c>
      <c r="F62" s="64" t="s">
        <v>106</v>
      </c>
      <c r="G62" s="64" t="s">
        <v>123</v>
      </c>
      <c r="H62" s="64" t="s">
        <v>83</v>
      </c>
      <c r="I62" s="64" t="s">
        <v>84</v>
      </c>
      <c r="J62" s="65" t="s">
        <v>128</v>
      </c>
      <c r="K62" s="64" t="s">
        <v>124</v>
      </c>
      <c r="L62" s="65" t="s">
        <v>130</v>
      </c>
      <c r="M62" s="65" t="s">
        <v>131</v>
      </c>
      <c r="N62" s="65" t="s">
        <v>107</v>
      </c>
      <c r="O62" s="64" t="s">
        <v>125</v>
      </c>
      <c r="P62" s="64" t="s">
        <v>126</v>
      </c>
      <c r="Q62" s="64" t="s">
        <v>127</v>
      </c>
      <c r="AS62" s="12"/>
      <c r="AT62" s="12"/>
      <c r="AU62" s="12"/>
      <c r="AV62" s="12"/>
      <c r="AW62" s="12"/>
    </row>
    <row r="63" spans="1:49" s="14" customFormat="1" ht="40" customHeight="1">
      <c r="A63" s="12"/>
      <c r="B63" s="12"/>
      <c r="C63" s="78" t="s">
        <v>16</v>
      </c>
      <c r="D63" s="70"/>
      <c r="E63" s="72">
        <f>VLOOKUP(C63,'Pricelist _ Feb 01.2021'!$B$6:$G$88,6,FALSE)</f>
        <v>93</v>
      </c>
      <c r="F63" s="73">
        <f>E63/H63</f>
        <v>17.580340264650282</v>
      </c>
      <c r="G63" s="73">
        <v>2.4092192742171186</v>
      </c>
      <c r="H63" s="73">
        <v>5.29</v>
      </c>
      <c r="I63" s="73" t="s">
        <v>99</v>
      </c>
      <c r="J63" s="73">
        <v>71.783090000000001</v>
      </c>
      <c r="K63" s="73">
        <v>22.89874</v>
      </c>
      <c r="L63" s="64">
        <v>40.15</v>
      </c>
      <c r="M63" s="64">
        <v>88</v>
      </c>
      <c r="N63" s="74">
        <f>(E63/91)-1</f>
        <v>2.19780219780219E-2</v>
      </c>
      <c r="O63" s="73">
        <v>2</v>
      </c>
      <c r="P63" s="75">
        <f>O63/E63</f>
        <v>2.1505376344086023E-2</v>
      </c>
      <c r="Q63" s="73" t="s">
        <v>117</v>
      </c>
      <c r="AS63" s="12"/>
      <c r="AT63" s="12"/>
      <c r="AU63" s="12"/>
      <c r="AV63" s="12"/>
      <c r="AW63" s="12"/>
    </row>
    <row r="64" spans="1:49" s="14" customFormat="1" ht="40" customHeight="1">
      <c r="A64" s="12"/>
      <c r="B64" s="12"/>
      <c r="C64" s="78" t="s">
        <v>63</v>
      </c>
      <c r="D64" s="70"/>
      <c r="E64" s="72">
        <f>VLOOKUP(C64,'Pricelist _ Feb 01.2021'!$B$6:$G$88,6,FALSE)</f>
        <v>74.5</v>
      </c>
      <c r="F64" s="73">
        <f>E64/H64</f>
        <v>19.919786096256683</v>
      </c>
      <c r="G64" s="73">
        <v>1.65049512664367</v>
      </c>
      <c r="H64" s="73">
        <v>3.74</v>
      </c>
      <c r="I64" s="73">
        <v>6.4595716619835377</v>
      </c>
      <c r="J64" s="73">
        <v>61.49427</v>
      </c>
      <c r="K64" s="73">
        <v>28.066939999999999</v>
      </c>
      <c r="L64" s="64">
        <v>31.3</v>
      </c>
      <c r="M64" s="64">
        <v>75</v>
      </c>
      <c r="N64" s="74">
        <f>(E64/70.95)-1</f>
        <v>5.0035236081747758E-2</v>
      </c>
      <c r="O64" s="73">
        <v>2</v>
      </c>
      <c r="P64" s="75">
        <f>O64/E64</f>
        <v>2.6845637583892617E-2</v>
      </c>
      <c r="Q64" s="73" t="s">
        <v>117</v>
      </c>
      <c r="AS64" s="12"/>
      <c r="AT64" s="12"/>
      <c r="AU64" s="12"/>
      <c r="AV64" s="12"/>
      <c r="AW64" s="12"/>
    </row>
    <row r="65" spans="1:49" s="14" customFormat="1" ht="36" customHeight="1">
      <c r="A65" s="12"/>
      <c r="B65" s="12"/>
      <c r="C65" s="80"/>
      <c r="D65" s="67"/>
      <c r="E65" s="38"/>
      <c r="F65" s="38"/>
      <c r="G65" s="38"/>
      <c r="H65" s="38"/>
      <c r="I65" s="38"/>
      <c r="J65" s="38"/>
      <c r="K65" s="38"/>
      <c r="L65" s="38"/>
      <c r="M65" s="68"/>
      <c r="N65" s="69"/>
      <c r="O65" s="38"/>
      <c r="P65" s="69"/>
      <c r="Q65" s="63"/>
      <c r="AS65" s="12"/>
      <c r="AT65" s="12"/>
      <c r="AU65" s="12"/>
      <c r="AV65" s="12"/>
      <c r="AW65" s="12"/>
    </row>
    <row r="66" spans="1:49" s="14" customFormat="1" ht="35.25" customHeight="1">
      <c r="A66" s="12"/>
      <c r="B66" s="12"/>
      <c r="C66" s="79" t="s">
        <v>115</v>
      </c>
      <c r="D66" s="53"/>
      <c r="E66" s="64" t="s">
        <v>81</v>
      </c>
      <c r="F66" s="64" t="s">
        <v>106</v>
      </c>
      <c r="G66" s="64" t="s">
        <v>123</v>
      </c>
      <c r="H66" s="64" t="s">
        <v>83</v>
      </c>
      <c r="I66" s="64" t="s">
        <v>84</v>
      </c>
      <c r="J66" s="65" t="s">
        <v>128</v>
      </c>
      <c r="K66" s="64" t="s">
        <v>124</v>
      </c>
      <c r="L66" s="65" t="s">
        <v>130</v>
      </c>
      <c r="M66" s="65" t="s">
        <v>131</v>
      </c>
      <c r="N66" s="65" t="s">
        <v>107</v>
      </c>
      <c r="O66" s="64" t="s">
        <v>125</v>
      </c>
      <c r="P66" s="64" t="s">
        <v>126</v>
      </c>
      <c r="Q66" s="64" t="s">
        <v>127</v>
      </c>
      <c r="AS66" s="12"/>
      <c r="AT66" s="12"/>
      <c r="AU66" s="12"/>
      <c r="AV66" s="12"/>
      <c r="AW66" s="12"/>
    </row>
    <row r="67" spans="1:49" s="14" customFormat="1" ht="40" customHeight="1">
      <c r="A67" s="12"/>
      <c r="B67" s="12"/>
      <c r="C67" s="78" t="s">
        <v>70</v>
      </c>
      <c r="D67" s="70"/>
      <c r="E67" s="72">
        <f>VLOOKUP(C67,'Pricelist _ Feb 01.2021'!$B$6:$G$88,6,FALSE)</f>
        <v>930</v>
      </c>
      <c r="F67" s="73" t="s">
        <v>99</v>
      </c>
      <c r="G67" s="73" t="s">
        <v>99</v>
      </c>
      <c r="H67" s="73" t="s">
        <v>99</v>
      </c>
      <c r="I67" s="73">
        <v>3.7381141154830453</v>
      </c>
      <c r="J67" s="73">
        <v>92.025220000000004</v>
      </c>
      <c r="K67" s="73">
        <v>26.340029999999999</v>
      </c>
      <c r="L67" s="64">
        <v>275</v>
      </c>
      <c r="M67" s="64">
        <v>535</v>
      </c>
      <c r="N67" s="74">
        <f>(E67/851.8)-1</f>
        <v>9.1805588166236296E-2</v>
      </c>
      <c r="O67" s="73">
        <f>0.03*305</f>
        <v>9.15</v>
      </c>
      <c r="P67" s="75">
        <f>O67/E67</f>
        <v>9.838709677419356E-3</v>
      </c>
      <c r="Q67" s="73" t="s">
        <v>117</v>
      </c>
      <c r="AS67" s="12"/>
      <c r="AT67" s="12"/>
      <c r="AU67" s="12"/>
      <c r="AV67" s="12"/>
      <c r="AW67" s="12"/>
    </row>
    <row r="68" spans="1:49" s="14" customFormat="1" ht="40" customHeight="1">
      <c r="A68" s="12"/>
      <c r="B68" s="12"/>
      <c r="C68" s="78" t="s">
        <v>54</v>
      </c>
      <c r="D68" s="70"/>
      <c r="E68" s="72">
        <f>VLOOKUP(C68,'Pricelist _ Feb 01.2021'!$B$6:$G$88,6,FALSE)</f>
        <v>181</v>
      </c>
      <c r="F68" s="73">
        <f>E68/H68</f>
        <v>18.227593152064451</v>
      </c>
      <c r="G68" s="73">
        <v>17.207540566965903</v>
      </c>
      <c r="H68" s="73">
        <v>9.93</v>
      </c>
      <c r="I68" s="73">
        <v>4.8816803292714086</v>
      </c>
      <c r="J68" s="73">
        <v>54.096690000000002</v>
      </c>
      <c r="K68" s="73">
        <v>7.6719140000000001</v>
      </c>
      <c r="L68" s="64">
        <v>90</v>
      </c>
      <c r="M68" s="64">
        <v>160</v>
      </c>
      <c r="N68" s="74">
        <f>(E68/169.9)-1</f>
        <v>6.5332548557975212E-2</v>
      </c>
      <c r="O68" s="73">
        <v>7</v>
      </c>
      <c r="P68" s="75">
        <f>O68/E68</f>
        <v>3.8674033149171269E-2</v>
      </c>
      <c r="Q68" s="73" t="s">
        <v>117</v>
      </c>
      <c r="AS68" s="12"/>
      <c r="AT68" s="12"/>
      <c r="AU68" s="12"/>
      <c r="AV68" s="12"/>
      <c r="AW68" s="12"/>
    </row>
    <row r="69" spans="1:49" s="14" customFormat="1" ht="40" customHeight="1">
      <c r="A69" s="12"/>
      <c r="B69" s="12"/>
      <c r="C69" s="81"/>
      <c r="D69" s="38"/>
      <c r="E69" s="38"/>
      <c r="F69" s="38"/>
      <c r="G69" s="38"/>
      <c r="H69" s="38"/>
      <c r="I69" s="38"/>
      <c r="J69" s="38"/>
      <c r="K69" s="38"/>
      <c r="L69" s="38"/>
      <c r="M69" s="68"/>
      <c r="N69" s="69"/>
      <c r="O69" s="38"/>
      <c r="P69" s="69"/>
      <c r="Q69" s="63"/>
      <c r="AS69" s="12"/>
      <c r="AT69" s="12"/>
      <c r="AU69" s="12"/>
      <c r="AV69" s="12"/>
      <c r="AW69" s="12"/>
    </row>
    <row r="70" spans="1:49" s="14" customFormat="1" ht="40" customHeight="1">
      <c r="A70" s="12"/>
      <c r="B70" s="12"/>
      <c r="C70" s="79" t="s">
        <v>111</v>
      </c>
      <c r="D70" s="53"/>
      <c r="E70" s="64" t="s">
        <v>81</v>
      </c>
      <c r="F70" s="64" t="s">
        <v>106</v>
      </c>
      <c r="G70" s="64" t="s">
        <v>123</v>
      </c>
      <c r="H70" s="64" t="s">
        <v>83</v>
      </c>
      <c r="I70" s="64" t="s">
        <v>84</v>
      </c>
      <c r="J70" s="65" t="s">
        <v>128</v>
      </c>
      <c r="K70" s="64" t="s">
        <v>124</v>
      </c>
      <c r="L70" s="65" t="s">
        <v>130</v>
      </c>
      <c r="M70" s="65" t="s">
        <v>131</v>
      </c>
      <c r="N70" s="65" t="s">
        <v>107</v>
      </c>
      <c r="O70" s="64" t="s">
        <v>125</v>
      </c>
      <c r="P70" s="64" t="s">
        <v>126</v>
      </c>
      <c r="Q70" s="64" t="s">
        <v>127</v>
      </c>
      <c r="AS70" s="12"/>
      <c r="AT70" s="12"/>
      <c r="AU70" s="12"/>
      <c r="AV70" s="12"/>
      <c r="AW70" s="12"/>
    </row>
    <row r="71" spans="1:49" s="14" customFormat="1" ht="36" customHeight="1">
      <c r="A71" s="12"/>
      <c r="B71" s="12"/>
      <c r="C71" s="78" t="s">
        <v>67</v>
      </c>
      <c r="D71" s="70"/>
      <c r="E71" s="72">
        <f>VLOOKUP(C71,'Pricelist _ Feb 01.2021'!$B$6:$G$88,6,FALSE)</f>
        <v>3.4</v>
      </c>
      <c r="F71" s="73">
        <f>E71/H71</f>
        <v>4.8571428571428577</v>
      </c>
      <c r="G71" s="73">
        <v>0.82</v>
      </c>
      <c r="H71" s="73">
        <v>0.7</v>
      </c>
      <c r="I71" s="73">
        <v>0.96</v>
      </c>
      <c r="J71" s="73">
        <v>64.489999999999995</v>
      </c>
      <c r="K71" s="73">
        <v>17.96</v>
      </c>
      <c r="L71" s="64">
        <v>2.7</v>
      </c>
      <c r="M71" s="64">
        <v>4.8899999999999997</v>
      </c>
      <c r="N71" s="74">
        <f>(E71/3.43)-1</f>
        <v>-8.7463556851312685E-3</v>
      </c>
      <c r="O71" s="73">
        <v>0.35</v>
      </c>
      <c r="P71" s="75">
        <f>O71/E71</f>
        <v>0.10294117647058823</v>
      </c>
      <c r="Q71" s="73" t="s">
        <v>118</v>
      </c>
      <c r="AS71" s="12"/>
      <c r="AT71" s="12"/>
      <c r="AU71" s="12"/>
      <c r="AV71" s="12"/>
      <c r="AW71" s="12"/>
    </row>
    <row r="72" spans="1:49" s="14" customFormat="1" ht="36" customHeight="1">
      <c r="A72" s="12"/>
      <c r="B72" s="12"/>
      <c r="C72" s="80"/>
      <c r="D72" s="67"/>
      <c r="E72" s="38"/>
      <c r="F72" s="38"/>
      <c r="G72" s="38"/>
      <c r="H72" s="38"/>
      <c r="I72" s="38"/>
      <c r="J72" s="38"/>
      <c r="K72" s="38"/>
      <c r="L72" s="38"/>
      <c r="M72" s="68"/>
      <c r="N72" s="69"/>
      <c r="O72" s="38"/>
      <c r="P72" s="69"/>
      <c r="Q72" s="63"/>
      <c r="AS72" s="12"/>
      <c r="AT72" s="12"/>
      <c r="AU72" s="12"/>
      <c r="AV72" s="12"/>
      <c r="AW72" s="12"/>
    </row>
    <row r="73" spans="1:49" s="14" customFormat="1" ht="40" customHeight="1">
      <c r="A73" s="12"/>
      <c r="B73" s="12"/>
      <c r="C73" s="79" t="s">
        <v>113</v>
      </c>
      <c r="D73" s="53"/>
      <c r="E73" s="64" t="s">
        <v>81</v>
      </c>
      <c r="F73" s="64" t="s">
        <v>106</v>
      </c>
      <c r="G73" s="64" t="s">
        <v>123</v>
      </c>
      <c r="H73" s="64" t="s">
        <v>83</v>
      </c>
      <c r="I73" s="64" t="s">
        <v>84</v>
      </c>
      <c r="J73" s="65" t="s">
        <v>128</v>
      </c>
      <c r="K73" s="64" t="s">
        <v>124</v>
      </c>
      <c r="L73" s="65" t="s">
        <v>130</v>
      </c>
      <c r="M73" s="65" t="s">
        <v>131</v>
      </c>
      <c r="N73" s="65" t="s">
        <v>107</v>
      </c>
      <c r="O73" s="64" t="s">
        <v>125</v>
      </c>
      <c r="P73" s="64" t="s">
        <v>126</v>
      </c>
      <c r="Q73" s="64" t="s">
        <v>127</v>
      </c>
      <c r="AS73" s="12"/>
      <c r="AT73" s="12"/>
      <c r="AU73" s="12"/>
      <c r="AV73" s="12"/>
      <c r="AW73" s="12"/>
    </row>
    <row r="74" spans="1:49" s="14" customFormat="1" ht="40" customHeight="1">
      <c r="A74" s="12"/>
      <c r="B74" s="12"/>
      <c r="C74" s="78" t="s">
        <v>1</v>
      </c>
      <c r="D74" s="70"/>
      <c r="E74" s="72">
        <f>VLOOKUP(C74,'Pricelist _ Feb 01.2021'!$B$6:$G$88,6,FALSE)</f>
        <v>7.15</v>
      </c>
      <c r="F74" s="73">
        <f>E74/H74</f>
        <v>8.5119047619047628</v>
      </c>
      <c r="G74" s="73">
        <v>1.0602693233815617</v>
      </c>
      <c r="H74" s="73">
        <v>0.84</v>
      </c>
      <c r="I74" s="73">
        <v>1.5276825182328833</v>
      </c>
      <c r="J74" s="73">
        <v>50.987299999999998</v>
      </c>
      <c r="K74" s="73">
        <v>37.024270000000001</v>
      </c>
      <c r="L74" s="64">
        <v>3.06</v>
      </c>
      <c r="M74" s="64">
        <v>6.9</v>
      </c>
      <c r="N74" s="74">
        <f>(E74/6.25)-1</f>
        <v>0.14400000000000013</v>
      </c>
      <c r="O74" s="73">
        <v>0.7</v>
      </c>
      <c r="P74" s="75">
        <f>O74/E74</f>
        <v>9.790209790209789E-2</v>
      </c>
      <c r="Q74" s="73" t="s">
        <v>117</v>
      </c>
      <c r="AS74" s="12"/>
      <c r="AT74" s="12"/>
      <c r="AU74" s="12"/>
      <c r="AV74" s="12"/>
      <c r="AW74" s="12"/>
    </row>
    <row r="75" spans="1:49" s="14" customFormat="1" ht="40" customHeight="1">
      <c r="A75" s="12"/>
      <c r="B75" s="12"/>
      <c r="C75" s="78" t="s">
        <v>28</v>
      </c>
      <c r="D75" s="70"/>
      <c r="E75" s="72">
        <f>VLOOKUP(C75,'Pricelist _ Feb 01.2021'!$B$6:$G$110,6,FALSE)</f>
        <v>5.87</v>
      </c>
      <c r="F75" s="73">
        <f>E75/H75</f>
        <v>7.0722891566265069</v>
      </c>
      <c r="G75" s="73">
        <v>1.0262907801782972</v>
      </c>
      <c r="H75" s="73">
        <v>0.83</v>
      </c>
      <c r="I75" s="73" t="s">
        <v>99</v>
      </c>
      <c r="J75" s="73">
        <v>57.386839999999999</v>
      </c>
      <c r="K75" s="73">
        <v>33.442570000000003</v>
      </c>
      <c r="L75" s="64">
        <v>1.9</v>
      </c>
      <c r="M75" s="64">
        <v>5.5</v>
      </c>
      <c r="N75" s="74">
        <f>(E75/4.71)-1</f>
        <v>0.24628450106157107</v>
      </c>
      <c r="O75" s="73">
        <v>0.5</v>
      </c>
      <c r="P75" s="75">
        <f>O75/E75</f>
        <v>8.5178875638841564E-2</v>
      </c>
      <c r="Q75" s="73" t="s">
        <v>117</v>
      </c>
      <c r="AS75" s="12"/>
      <c r="AT75" s="12"/>
      <c r="AU75" s="12"/>
      <c r="AV75" s="12"/>
      <c r="AW75" s="12"/>
    </row>
    <row r="76" spans="1:49" s="14" customFormat="1" ht="36" customHeight="1">
      <c r="A76" s="12"/>
      <c r="B76" s="12"/>
      <c r="C76" s="80"/>
      <c r="D76" s="67"/>
      <c r="E76" s="38"/>
      <c r="F76" s="38"/>
      <c r="G76" s="38"/>
      <c r="H76" s="38"/>
      <c r="I76" s="38"/>
      <c r="J76" s="38"/>
      <c r="K76" s="38"/>
      <c r="L76" s="38"/>
      <c r="M76" s="68"/>
      <c r="N76" s="69"/>
      <c r="O76" s="38"/>
      <c r="P76" s="69"/>
      <c r="Q76" s="63"/>
      <c r="AS76" s="12"/>
      <c r="AT76" s="12"/>
      <c r="AU76" s="12"/>
      <c r="AV76" s="12"/>
      <c r="AW76" s="12"/>
    </row>
    <row r="77" spans="1:49" s="14" customFormat="1" ht="35.25" customHeight="1">
      <c r="A77" s="12"/>
      <c r="B77" s="12"/>
      <c r="C77" s="79" t="s">
        <v>112</v>
      </c>
      <c r="D77" s="53"/>
      <c r="E77" s="64" t="s">
        <v>81</v>
      </c>
      <c r="F77" s="64" t="s">
        <v>106</v>
      </c>
      <c r="G77" s="64" t="s">
        <v>123</v>
      </c>
      <c r="H77" s="64" t="s">
        <v>83</v>
      </c>
      <c r="I77" s="64" t="s">
        <v>84</v>
      </c>
      <c r="J77" s="65" t="s">
        <v>128</v>
      </c>
      <c r="K77" s="64" t="s">
        <v>124</v>
      </c>
      <c r="L77" s="65" t="s">
        <v>130</v>
      </c>
      <c r="M77" s="65" t="s">
        <v>131</v>
      </c>
      <c r="N77" s="65" t="s">
        <v>107</v>
      </c>
      <c r="O77" s="64" t="s">
        <v>125</v>
      </c>
      <c r="P77" s="64" t="s">
        <v>126</v>
      </c>
      <c r="Q77" s="64" t="s">
        <v>127</v>
      </c>
      <c r="AS77" s="12"/>
      <c r="AT77" s="12"/>
      <c r="AU77" s="12"/>
      <c r="AV77" s="12"/>
      <c r="AW77" s="12"/>
    </row>
    <row r="78" spans="1:49" s="14" customFormat="1" ht="40" customHeight="1">
      <c r="A78" s="12"/>
      <c r="B78" s="12"/>
      <c r="C78" s="78" t="s">
        <v>62</v>
      </c>
      <c r="D78" s="70"/>
      <c r="E78" s="72">
        <f>VLOOKUP(C78,'Pricelist _ Feb 01.2021'!$B$6:$G$88,6,FALSE)</f>
        <v>6.15</v>
      </c>
      <c r="F78" s="73">
        <f>E78/H78</f>
        <v>30.75</v>
      </c>
      <c r="G78" s="73">
        <v>0.54987712071699424</v>
      </c>
      <c r="H78" s="73">
        <v>0.2</v>
      </c>
      <c r="I78" s="73">
        <v>3.5099257180519094</v>
      </c>
      <c r="J78" s="73">
        <v>58.606279999999998</v>
      </c>
      <c r="K78" s="73">
        <v>57.858519999999999</v>
      </c>
      <c r="L78" s="64">
        <v>2.21</v>
      </c>
      <c r="M78" s="64">
        <v>6.5</v>
      </c>
      <c r="N78" s="74">
        <f>(E78/4.5)-1</f>
        <v>0.3666666666666667</v>
      </c>
      <c r="O78" s="73">
        <v>0.15</v>
      </c>
      <c r="P78" s="75">
        <f>O78/E78</f>
        <v>2.4390243902439022E-2</v>
      </c>
      <c r="Q78" s="73" t="s">
        <v>117</v>
      </c>
      <c r="AS78" s="12"/>
      <c r="AT78" s="12"/>
      <c r="AU78" s="12"/>
      <c r="AV78" s="12"/>
      <c r="AW78" s="12"/>
    </row>
    <row r="79" spans="1:49" s="14" customFormat="1" ht="40" customHeight="1">
      <c r="A79" s="12"/>
      <c r="B79" s="12"/>
      <c r="C79" s="78" t="s">
        <v>48</v>
      </c>
      <c r="D79" s="70"/>
      <c r="E79" s="72">
        <f>VLOOKUP(C79,'Pricelist _ Feb 01.2021'!$B$6:$G$88,6,FALSE)</f>
        <v>7.25</v>
      </c>
      <c r="F79" s="73">
        <f t="shared" ref="F79:F81" si="5">E79/H79</f>
        <v>9.4155844155844157</v>
      </c>
      <c r="G79" s="73">
        <v>0.64477733242517565</v>
      </c>
      <c r="H79" s="73">
        <v>0.77</v>
      </c>
      <c r="I79" s="73" t="s">
        <v>99</v>
      </c>
      <c r="J79" s="73">
        <v>46.713749999999997</v>
      </c>
      <c r="K79" s="73">
        <v>69.057100000000005</v>
      </c>
      <c r="L79" s="64">
        <v>3.45</v>
      </c>
      <c r="M79" s="64">
        <v>8.6</v>
      </c>
      <c r="N79" s="74">
        <f>(E79/6.9)-1</f>
        <v>5.0724637681159424E-2</v>
      </c>
      <c r="O79" s="73">
        <v>0.55000000000000004</v>
      </c>
      <c r="P79" s="75">
        <f>O79/E79</f>
        <v>7.5862068965517254E-2</v>
      </c>
      <c r="Q79" s="73" t="s">
        <v>117</v>
      </c>
      <c r="AS79" s="12"/>
      <c r="AT79" s="12"/>
      <c r="AU79" s="12"/>
      <c r="AV79" s="12"/>
      <c r="AW79" s="12"/>
    </row>
    <row r="80" spans="1:49" s="14" customFormat="1" ht="40" customHeight="1">
      <c r="A80" s="12"/>
      <c r="B80" s="12"/>
      <c r="C80" s="78" t="s">
        <v>42</v>
      </c>
      <c r="D80" s="70"/>
      <c r="E80" s="72">
        <f>VLOOKUP(C80,'Pricelist _ Feb 01.2021'!$B$6:$G$88,6,FALSE)</f>
        <v>5.0199999999999996</v>
      </c>
      <c r="F80" s="73">
        <f t="shared" si="5"/>
        <v>12.087647483746688</v>
      </c>
      <c r="G80" s="73">
        <v>0.88015697480832211</v>
      </c>
      <c r="H80" s="73">
        <v>0.4153</v>
      </c>
      <c r="I80" s="73" t="s">
        <v>99</v>
      </c>
      <c r="J80" s="73">
        <v>53.514609999999998</v>
      </c>
      <c r="K80" s="73">
        <v>57.352910000000001</v>
      </c>
      <c r="L80" s="64">
        <v>1.79</v>
      </c>
      <c r="M80" s="64">
        <v>3.4</v>
      </c>
      <c r="N80" s="74">
        <f>(E80/3.51)-1</f>
        <v>0.43019943019943008</v>
      </c>
      <c r="O80" s="73">
        <v>0.25</v>
      </c>
      <c r="P80" s="75">
        <f>O80/E80</f>
        <v>4.9800796812749008E-2</v>
      </c>
      <c r="Q80" s="73" t="s">
        <v>117</v>
      </c>
      <c r="AS80" s="12"/>
      <c r="AT80" s="12"/>
      <c r="AU80" s="12"/>
      <c r="AV80" s="12"/>
      <c r="AW80" s="12"/>
    </row>
    <row r="81" spans="1:49" s="14" customFormat="1" ht="40" customHeight="1">
      <c r="A81" s="12"/>
      <c r="B81" s="12"/>
      <c r="C81" s="78" t="s">
        <v>64</v>
      </c>
      <c r="D81" s="70"/>
      <c r="E81" s="72">
        <f>VLOOKUP(C81,'Pricelist _ Feb 01.2021'!$B$6:$G$88,6,FALSE)</f>
        <v>2.1</v>
      </c>
      <c r="F81" s="73">
        <f t="shared" si="5"/>
        <v>17.5</v>
      </c>
      <c r="G81" s="73">
        <v>2.7176498656480113</v>
      </c>
      <c r="H81" s="73">
        <v>0.12</v>
      </c>
      <c r="I81" s="73">
        <v>5.6337778897534454</v>
      </c>
      <c r="J81" s="73">
        <v>57.56427</v>
      </c>
      <c r="K81" s="73">
        <v>76.610320000000002</v>
      </c>
      <c r="L81" s="64">
        <v>0.37</v>
      </c>
      <c r="M81" s="64">
        <v>2.57</v>
      </c>
      <c r="N81" s="74">
        <f>(E81/2.23)-1</f>
        <v>-5.8295964125560484E-2</v>
      </c>
      <c r="O81" s="73" t="s">
        <v>99</v>
      </c>
      <c r="P81" s="75" t="s">
        <v>99</v>
      </c>
      <c r="Q81" s="73" t="s">
        <v>122</v>
      </c>
      <c r="AS81" s="12"/>
      <c r="AT81" s="12"/>
      <c r="AU81" s="12"/>
      <c r="AV81" s="12"/>
      <c r="AW81" s="12"/>
    </row>
    <row r="82" spans="1:49" s="14" customFormat="1" ht="36" customHeight="1">
      <c r="A82" s="12"/>
      <c r="B82" s="12"/>
      <c r="C82" s="80"/>
      <c r="D82" s="67"/>
      <c r="E82" s="38"/>
      <c r="F82" s="38"/>
      <c r="G82" s="38"/>
      <c r="H82" s="38"/>
      <c r="I82" s="38"/>
      <c r="J82" s="38"/>
      <c r="K82" s="38"/>
      <c r="L82" s="38"/>
      <c r="M82" s="68"/>
      <c r="N82" s="69"/>
      <c r="O82" s="38"/>
      <c r="P82" s="69"/>
      <c r="Q82" s="63"/>
      <c r="AS82" s="12"/>
      <c r="AT82" s="12"/>
      <c r="AU82" s="12"/>
      <c r="AV82" s="12"/>
      <c r="AW82" s="12"/>
    </row>
    <row r="83" spans="1:49" s="14" customFormat="1" ht="35.25" customHeight="1">
      <c r="A83" s="12"/>
      <c r="B83" s="12"/>
      <c r="C83" s="79" t="s">
        <v>103</v>
      </c>
      <c r="D83" s="53"/>
      <c r="E83" s="64" t="s">
        <v>81</v>
      </c>
      <c r="F83" s="64" t="s">
        <v>106</v>
      </c>
      <c r="G83" s="64" t="s">
        <v>123</v>
      </c>
      <c r="H83" s="64" t="s">
        <v>83</v>
      </c>
      <c r="I83" s="64" t="s">
        <v>84</v>
      </c>
      <c r="J83" s="65" t="s">
        <v>128</v>
      </c>
      <c r="K83" s="64" t="s">
        <v>124</v>
      </c>
      <c r="L83" s="65" t="s">
        <v>130</v>
      </c>
      <c r="M83" s="65" t="s">
        <v>131</v>
      </c>
      <c r="N83" s="65" t="s">
        <v>107</v>
      </c>
      <c r="O83" s="64" t="s">
        <v>125</v>
      </c>
      <c r="P83" s="64" t="s">
        <v>126</v>
      </c>
      <c r="Q83" s="64" t="s">
        <v>127</v>
      </c>
      <c r="AS83" s="12"/>
      <c r="AT83" s="12"/>
      <c r="AU83" s="12"/>
      <c r="AV83" s="12"/>
      <c r="AW83" s="12"/>
    </row>
    <row r="84" spans="1:49" s="14" customFormat="1" ht="40" customHeight="1">
      <c r="A84" s="12"/>
      <c r="B84" s="12"/>
      <c r="C84" s="78" t="s">
        <v>2</v>
      </c>
      <c r="D84" s="70"/>
      <c r="E84" s="72">
        <f>VLOOKUP(C84,'Pricelist _ Feb 01.2021'!$B$6:$G$88,6,FALSE)</f>
        <v>1.36</v>
      </c>
      <c r="F84" s="73">
        <f>E84/H84</f>
        <v>1.9662650602409641</v>
      </c>
      <c r="G84" s="73">
        <v>0.20426589279906993</v>
      </c>
      <c r="H84" s="73">
        <v>0.69166666666666665</v>
      </c>
      <c r="I84" s="73" t="s">
        <v>99</v>
      </c>
      <c r="J84" s="73">
        <v>51.449539999999999</v>
      </c>
      <c r="K84" s="73">
        <v>46.809199999999997</v>
      </c>
      <c r="L84" s="64">
        <v>0.50833329999999999</v>
      </c>
      <c r="M84" s="64">
        <v>1.06</v>
      </c>
      <c r="N84" s="74">
        <f>(E84/1.13)-1</f>
        <v>0.20353982300884965</v>
      </c>
      <c r="O84" s="73" t="s">
        <v>99</v>
      </c>
      <c r="P84" s="75" t="s">
        <v>99</v>
      </c>
      <c r="Q84" s="73" t="s">
        <v>117</v>
      </c>
      <c r="AS84" s="12"/>
      <c r="AT84" s="12"/>
      <c r="AU84" s="12"/>
      <c r="AV84" s="12"/>
      <c r="AW84" s="12"/>
    </row>
    <row r="85" spans="1:49" s="14" customFormat="1" ht="40" customHeight="1">
      <c r="A85" s="12"/>
      <c r="B85" s="12"/>
      <c r="C85" s="78" t="s">
        <v>74</v>
      </c>
      <c r="D85" s="70"/>
      <c r="E85" s="72">
        <f>VLOOKUP(C85,'Pricelist _ Feb 01.2021'!$B$6:$G$88,6,FALSE)</f>
        <v>0.9</v>
      </c>
      <c r="F85" s="73">
        <f t="shared" ref="F85:F88" si="6">E85/H85</f>
        <v>7.7586206896551726</v>
      </c>
      <c r="G85" s="73">
        <v>0.13225061974715813</v>
      </c>
      <c r="H85" s="73">
        <v>0.11600000000000001</v>
      </c>
      <c r="I85" s="73" t="s">
        <v>99</v>
      </c>
      <c r="J85" s="73">
        <v>42.473379999999999</v>
      </c>
      <c r="K85" s="73">
        <v>63.090020000000003</v>
      </c>
      <c r="L85" s="64">
        <v>0.35</v>
      </c>
      <c r="M85" s="64">
        <v>0.63</v>
      </c>
      <c r="N85" s="74">
        <f>(E85/0.52)-1</f>
        <v>0.73076923076923084</v>
      </c>
      <c r="O85" s="73" t="s">
        <v>99</v>
      </c>
      <c r="P85" s="75" t="s">
        <v>99</v>
      </c>
      <c r="Q85" s="73" t="s">
        <v>117</v>
      </c>
      <c r="AS85" s="12"/>
      <c r="AT85" s="12"/>
      <c r="AU85" s="12"/>
      <c r="AV85" s="12"/>
      <c r="AW85" s="12"/>
    </row>
    <row r="86" spans="1:49" s="14" customFormat="1" ht="40" customHeight="1">
      <c r="A86" s="12"/>
      <c r="B86" s="12"/>
      <c r="C86" s="78" t="s">
        <v>61</v>
      </c>
      <c r="D86" s="70"/>
      <c r="E86" s="72">
        <f>VLOOKUP(C86,'Pricelist _ Feb 01.2021'!$B$6:$G$88,6,FALSE)</f>
        <v>1.4</v>
      </c>
      <c r="F86" s="73">
        <f t="shared" si="6"/>
        <v>5.3846153846153841</v>
      </c>
      <c r="G86" s="73">
        <v>0.64682982749481754</v>
      </c>
      <c r="H86" s="73">
        <v>0.26</v>
      </c>
      <c r="I86" s="73" t="s">
        <v>99</v>
      </c>
      <c r="J86" s="73">
        <v>60.651940000000003</v>
      </c>
      <c r="K86" s="73">
        <v>66.273030000000006</v>
      </c>
      <c r="L86" s="64">
        <v>1.36</v>
      </c>
      <c r="M86" s="64">
        <v>2.8</v>
      </c>
      <c r="N86" s="74">
        <f>(E86/1.05)-1</f>
        <v>0.33333333333333326</v>
      </c>
      <c r="O86" s="73" t="s">
        <v>99</v>
      </c>
      <c r="P86" s="75" t="s">
        <v>99</v>
      </c>
      <c r="Q86" s="73" t="s">
        <v>117</v>
      </c>
      <c r="AS86" s="12"/>
      <c r="AT86" s="12"/>
      <c r="AU86" s="12"/>
      <c r="AV86" s="12"/>
      <c r="AW86" s="12"/>
    </row>
    <row r="87" spans="1:49" s="14" customFormat="1" ht="40" customHeight="1">
      <c r="A87" s="12"/>
      <c r="B87" s="12"/>
      <c r="C87" s="78" t="s">
        <v>77</v>
      </c>
      <c r="D87" s="70"/>
      <c r="E87" s="72">
        <f>VLOOKUP(C87,'Pricelist _ Feb 01.2021'!$B$6:$G$110,6,FALSE)</f>
        <v>2.58</v>
      </c>
      <c r="F87" s="73">
        <f t="shared" si="6"/>
        <v>3.8750084484195826</v>
      </c>
      <c r="G87" s="73">
        <v>0.76430513809823297</v>
      </c>
      <c r="H87" s="73">
        <v>0.66580499999999998</v>
      </c>
      <c r="I87" s="73" t="s">
        <v>99</v>
      </c>
      <c r="J87" s="73">
        <v>66.354640000000003</v>
      </c>
      <c r="K87" s="73">
        <v>36.57873</v>
      </c>
      <c r="L87" s="64">
        <v>1.44</v>
      </c>
      <c r="M87" s="64">
        <v>2.63</v>
      </c>
      <c r="N87" s="74">
        <f>(E87/1.79)-1</f>
        <v>0.44134078212290495</v>
      </c>
      <c r="O87" s="73">
        <v>0.15</v>
      </c>
      <c r="P87" s="75">
        <f>O87/E87</f>
        <v>5.8139534883720929E-2</v>
      </c>
      <c r="Q87" s="73" t="s">
        <v>117</v>
      </c>
      <c r="AS87" s="12"/>
      <c r="AT87" s="12"/>
      <c r="AU87" s="12"/>
      <c r="AV87" s="12"/>
      <c r="AW87" s="12"/>
    </row>
    <row r="88" spans="1:49" s="14" customFormat="1" ht="40" customHeight="1">
      <c r="A88" s="12"/>
      <c r="B88" s="12"/>
      <c r="C88" s="78" t="s">
        <v>45</v>
      </c>
      <c r="D88" s="70"/>
      <c r="E88" s="72" t="e">
        <f>VLOOKUP(C88,'Pricelist _ Feb 01.2021'!$B$6:$G$110,6,FALSE)</f>
        <v>#N/A</v>
      </c>
      <c r="F88" s="73" t="e">
        <f t="shared" si="6"/>
        <v>#N/A</v>
      </c>
      <c r="G88" s="73">
        <v>0.19394157804647355</v>
      </c>
      <c r="H88" s="73">
        <v>0.02</v>
      </c>
      <c r="I88" s="73" t="s">
        <v>99</v>
      </c>
      <c r="J88" s="73">
        <v>52.268380000000001</v>
      </c>
      <c r="K88" s="73">
        <v>33.66489</v>
      </c>
      <c r="L88" s="64">
        <v>0.2</v>
      </c>
      <c r="M88" s="64">
        <v>0.5</v>
      </c>
      <c r="N88" s="74" t="e">
        <f>(E88/0.4)-1</f>
        <v>#N/A</v>
      </c>
      <c r="O88" s="73" t="s">
        <v>99</v>
      </c>
      <c r="P88" s="75" t="s">
        <v>99</v>
      </c>
      <c r="Q88" s="73" t="s">
        <v>117</v>
      </c>
      <c r="AS88" s="12"/>
      <c r="AT88" s="12"/>
      <c r="AU88" s="12"/>
      <c r="AV88" s="12"/>
      <c r="AW88" s="12"/>
    </row>
    <row r="89" spans="1:49" s="14" customFormat="1" ht="15" customHeight="1">
      <c r="A89" s="12"/>
      <c r="B89" s="12"/>
      <c r="C89" s="23"/>
      <c r="D89" s="23"/>
      <c r="E89" s="12"/>
      <c r="F89" s="12"/>
      <c r="G89" s="12"/>
      <c r="H89" s="12"/>
      <c r="I89" s="12"/>
      <c r="J89" s="12"/>
      <c r="K89" s="12"/>
      <c r="L89" s="12"/>
      <c r="M89" s="22"/>
      <c r="N89" s="29"/>
      <c r="O89" s="12"/>
      <c r="P89" s="29"/>
      <c r="Q89" s="12"/>
      <c r="AS89" s="12"/>
      <c r="AT89" s="12"/>
      <c r="AU89" s="12"/>
      <c r="AV89" s="12"/>
      <c r="AW89" s="12"/>
    </row>
    <row r="90" spans="1:49" s="14" customFormat="1" ht="30" customHeight="1">
      <c r="A90" s="12"/>
      <c r="B90" s="12"/>
      <c r="C90" s="110" t="s">
        <v>104</v>
      </c>
      <c r="D90" s="110"/>
      <c r="E90" s="110"/>
      <c r="F90" s="110"/>
      <c r="G90" s="110"/>
      <c r="H90" s="110"/>
      <c r="I90" s="110"/>
      <c r="J90" s="110"/>
      <c r="K90" s="110"/>
      <c r="L90" s="110"/>
      <c r="M90" s="110"/>
      <c r="N90" s="110"/>
      <c r="O90" s="110"/>
      <c r="P90" s="110"/>
      <c r="Q90" s="110"/>
      <c r="AS90" s="12"/>
      <c r="AT90" s="12"/>
      <c r="AU90" s="12"/>
      <c r="AV90" s="12"/>
      <c r="AW90" s="12"/>
    </row>
    <row r="91" spans="1:49" s="25" customFormat="1" ht="61" customHeight="1">
      <c r="B91" s="24"/>
      <c r="C91" s="110"/>
      <c r="D91" s="110"/>
      <c r="E91" s="110"/>
      <c r="F91" s="110"/>
      <c r="G91" s="110"/>
      <c r="H91" s="110"/>
      <c r="I91" s="110"/>
      <c r="J91" s="110"/>
      <c r="K91" s="110"/>
      <c r="L91" s="110"/>
      <c r="M91" s="110"/>
      <c r="N91" s="110"/>
      <c r="O91" s="110"/>
      <c r="P91" s="110"/>
      <c r="Q91" s="110"/>
    </row>
    <row r="92" spans="1:49" s="25" customFormat="1" ht="30" customHeight="1">
      <c r="B92" s="24"/>
      <c r="C92" s="24"/>
      <c r="D92" s="24"/>
      <c r="E92" s="24"/>
      <c r="F92" s="24"/>
      <c r="G92" s="24"/>
      <c r="H92" s="24"/>
      <c r="I92" s="24"/>
      <c r="J92" s="24"/>
      <c r="K92" s="24"/>
      <c r="L92" s="24"/>
      <c r="M92" s="24"/>
      <c r="N92" s="24"/>
      <c r="O92" s="24"/>
      <c r="P92" s="24"/>
      <c r="Q92" s="24"/>
    </row>
    <row r="93" spans="1:49" s="25" customFormat="1" ht="30" customHeight="1">
      <c r="B93" s="24"/>
      <c r="C93" s="24"/>
      <c r="D93" s="24"/>
      <c r="E93" s="24"/>
      <c r="F93" s="24"/>
      <c r="G93" s="24"/>
      <c r="H93" s="24"/>
      <c r="I93" s="24"/>
      <c r="J93" s="24"/>
      <c r="K93" s="24"/>
      <c r="L93" s="24"/>
      <c r="M93" s="24"/>
      <c r="N93" s="24"/>
      <c r="O93" s="24"/>
      <c r="P93" s="24"/>
      <c r="Q93" s="24"/>
    </row>
    <row r="94" spans="1:49" s="25" customFormat="1" ht="30" customHeight="1">
      <c r="B94" s="24"/>
      <c r="C94" s="24"/>
      <c r="D94" s="24"/>
      <c r="E94" s="24"/>
      <c r="F94" s="24"/>
      <c r="G94" s="24"/>
      <c r="H94" s="24"/>
      <c r="I94" s="24"/>
      <c r="J94" s="24"/>
      <c r="K94" s="24"/>
      <c r="L94" s="24"/>
      <c r="M94" s="24"/>
      <c r="N94" s="24"/>
      <c r="O94" s="24"/>
      <c r="P94" s="24"/>
      <c r="Q94" s="24"/>
    </row>
    <row r="95" spans="1:49" s="25" customFormat="1" ht="30" customHeight="1">
      <c r="B95" s="24"/>
      <c r="C95" s="24"/>
      <c r="D95" s="24"/>
      <c r="E95" s="24"/>
      <c r="F95" s="24"/>
      <c r="G95" s="24"/>
      <c r="H95" s="24"/>
      <c r="I95" s="24"/>
      <c r="J95" s="24"/>
      <c r="K95" s="24"/>
      <c r="L95" s="24"/>
      <c r="M95" s="24"/>
      <c r="N95" s="24"/>
      <c r="O95" s="24"/>
      <c r="P95" s="24"/>
      <c r="Q95" s="24"/>
    </row>
    <row r="96" spans="1:49" s="25" customFormat="1" ht="30" customHeight="1">
      <c r="B96" s="24"/>
      <c r="C96" s="24"/>
      <c r="D96" s="24"/>
      <c r="E96" s="24"/>
      <c r="F96" s="24"/>
      <c r="G96" s="24"/>
      <c r="H96" s="24"/>
      <c r="I96" s="24"/>
      <c r="J96" s="24"/>
      <c r="K96" s="24"/>
      <c r="L96" s="24"/>
      <c r="M96" s="24"/>
      <c r="N96" s="24"/>
      <c r="O96" s="24"/>
      <c r="P96" s="24"/>
      <c r="Q96" s="24"/>
    </row>
    <row r="97" spans="2:17" s="25" customFormat="1" ht="30" customHeight="1">
      <c r="B97" s="24"/>
      <c r="C97" s="24"/>
      <c r="D97" s="24"/>
      <c r="E97" s="24"/>
      <c r="F97" s="24"/>
      <c r="G97" s="24"/>
      <c r="H97" s="24"/>
      <c r="I97" s="24"/>
      <c r="J97" s="24"/>
      <c r="K97" s="24"/>
      <c r="L97" s="24"/>
      <c r="M97" s="24"/>
      <c r="N97" s="24"/>
      <c r="O97" s="24"/>
      <c r="P97" s="24"/>
      <c r="Q97" s="26"/>
    </row>
    <row r="98" spans="2:17" s="25" customFormat="1" ht="30" customHeight="1">
      <c r="B98" s="24"/>
      <c r="C98" s="26"/>
      <c r="D98" s="26"/>
      <c r="E98" s="26"/>
      <c r="F98" s="26"/>
      <c r="G98" s="26"/>
      <c r="H98" s="26"/>
      <c r="I98" s="26"/>
      <c r="J98" s="26"/>
      <c r="K98" s="26"/>
      <c r="L98" s="26"/>
      <c r="M98" s="26"/>
      <c r="N98" s="26"/>
      <c r="O98" s="26"/>
      <c r="P98" s="26"/>
      <c r="Q98" s="26"/>
    </row>
    <row r="99" spans="2:17" s="25" customFormat="1" ht="30" customHeight="1">
      <c r="B99" s="24"/>
      <c r="C99" s="26"/>
      <c r="D99" s="26"/>
      <c r="E99" s="26"/>
      <c r="F99" s="26"/>
      <c r="G99" s="26"/>
      <c r="H99" s="26"/>
      <c r="I99" s="26"/>
      <c r="J99" s="26"/>
      <c r="K99" s="26"/>
      <c r="L99" s="26"/>
      <c r="M99" s="26"/>
      <c r="N99" s="26"/>
      <c r="O99" s="26"/>
      <c r="P99" s="26"/>
      <c r="Q99" s="26"/>
    </row>
    <row r="100" spans="2:17" s="25" customFormat="1" ht="30" customHeight="1">
      <c r="B100" s="24"/>
      <c r="C100" s="26"/>
      <c r="D100" s="26"/>
      <c r="E100" s="26"/>
      <c r="F100" s="26"/>
      <c r="G100" s="26"/>
      <c r="H100" s="26"/>
      <c r="I100" s="26"/>
      <c r="J100" s="26"/>
      <c r="K100" s="26"/>
      <c r="L100" s="26"/>
      <c r="M100" s="26"/>
      <c r="N100" s="26"/>
      <c r="O100" s="26"/>
      <c r="P100" s="26"/>
      <c r="Q100" s="26"/>
    </row>
    <row r="101" spans="2:17" s="25" customFormat="1" ht="30" customHeight="1">
      <c r="B101" s="24"/>
      <c r="C101" s="26"/>
      <c r="D101" s="26"/>
      <c r="E101" s="26"/>
      <c r="F101" s="26"/>
      <c r="G101" s="26"/>
      <c r="H101" s="26"/>
      <c r="I101" s="26"/>
      <c r="J101" s="26"/>
      <c r="K101" s="26"/>
      <c r="L101" s="26"/>
      <c r="M101" s="26"/>
      <c r="N101" s="26"/>
      <c r="O101" s="26"/>
      <c r="P101" s="26"/>
      <c r="Q101" s="26"/>
    </row>
    <row r="102" spans="2:17" s="25" customFormat="1" ht="30" customHeight="1">
      <c r="B102" s="24"/>
      <c r="C102" s="26"/>
      <c r="D102" s="26"/>
      <c r="E102" s="26"/>
      <c r="F102" s="26"/>
      <c r="G102" s="26"/>
      <c r="H102" s="26"/>
      <c r="I102" s="26"/>
      <c r="J102" s="26"/>
      <c r="K102" s="26"/>
      <c r="L102" s="26"/>
      <c r="M102" s="26"/>
      <c r="N102" s="26"/>
      <c r="O102" s="26"/>
      <c r="P102" s="26"/>
      <c r="Q102" s="26"/>
    </row>
    <row r="103" spans="2:17" s="25" customFormat="1" ht="30" customHeight="1">
      <c r="B103" s="24"/>
      <c r="C103" s="24"/>
      <c r="D103" s="24"/>
      <c r="E103" s="24"/>
      <c r="F103" s="24"/>
      <c r="G103" s="24"/>
      <c r="H103" s="24"/>
      <c r="I103" s="24"/>
      <c r="J103" s="24"/>
      <c r="K103" s="24"/>
      <c r="L103" s="24"/>
      <c r="M103" s="24"/>
      <c r="N103" s="24"/>
      <c r="O103" s="24"/>
      <c r="P103" s="24"/>
      <c r="Q103" s="24"/>
    </row>
    <row r="104" spans="2:17" s="27" customFormat="1" ht="30" customHeight="1"/>
    <row r="105" spans="2:17" s="27" customFormat="1" ht="30" customHeight="1"/>
    <row r="106" spans="2:17" s="27" customFormat="1" ht="30" customHeight="1"/>
    <row r="107" spans="2:17" s="27" customFormat="1" ht="30" customHeight="1"/>
    <row r="108" spans="2:17" s="27" customFormat="1" ht="30" customHeight="1"/>
    <row r="109" spans="2:17" s="27" customFormat="1" ht="30" customHeight="1"/>
    <row r="110" spans="2:17" s="27" customFormat="1" ht="30" customHeight="1"/>
    <row r="111" spans="2:17" s="27" customFormat="1" ht="30" customHeight="1"/>
    <row r="112" spans="2:17" s="27" customFormat="1" ht="30" customHeight="1"/>
    <row r="113" s="27" customFormat="1" ht="30" customHeight="1"/>
    <row r="114" s="27" customFormat="1" ht="30" customHeight="1"/>
    <row r="115" s="27" customFormat="1" ht="30" customHeight="1"/>
    <row r="116" s="27" customFormat="1" ht="30" customHeight="1"/>
    <row r="117" s="27" customFormat="1" ht="30" customHeight="1"/>
    <row r="118" s="27" customFormat="1" ht="30" customHeight="1"/>
    <row r="119" s="27" customFormat="1" ht="30" customHeight="1"/>
    <row r="120" s="27" customFormat="1" ht="30" customHeight="1"/>
    <row r="121" s="27" customFormat="1" ht="30" customHeight="1"/>
    <row r="122" s="27" customFormat="1" ht="30" customHeight="1"/>
    <row r="123" s="27" customFormat="1" ht="30" customHeight="1"/>
    <row r="124" s="27" customFormat="1" ht="30" customHeight="1"/>
    <row r="125" s="27" customFormat="1" ht="30" customHeight="1"/>
    <row r="126" s="27" customFormat="1" ht="30" customHeight="1"/>
    <row r="127" s="27" customFormat="1" ht="30" customHeight="1"/>
    <row r="128" s="27" customFormat="1" ht="30" customHeight="1"/>
    <row r="129" s="27" customFormat="1" ht="30" customHeight="1"/>
    <row r="130" s="27" customFormat="1" ht="30" customHeight="1"/>
    <row r="131" s="27" customFormat="1" ht="30" customHeight="1"/>
    <row r="132" s="27" customFormat="1" ht="30" customHeight="1"/>
    <row r="133" s="27" customFormat="1" ht="30" customHeight="1"/>
    <row r="134" s="27" customFormat="1" ht="30" customHeight="1"/>
    <row r="135" s="27" customFormat="1" ht="30" customHeight="1"/>
    <row r="136" s="27" customFormat="1" ht="30" customHeight="1"/>
    <row r="137" s="27" customFormat="1" ht="30" customHeight="1"/>
    <row r="138" s="27" customFormat="1" ht="30" customHeight="1"/>
    <row r="139" s="27" customFormat="1" ht="30" customHeight="1"/>
    <row r="140" s="27" customFormat="1" ht="30" customHeight="1"/>
    <row r="141" s="27" customFormat="1" ht="30" customHeight="1"/>
    <row r="142" s="27" customFormat="1" ht="30" customHeight="1"/>
    <row r="143" s="27" customFormat="1" ht="30" customHeight="1"/>
    <row r="144" s="27" customFormat="1" ht="30" customHeight="1"/>
    <row r="145" s="27" customFormat="1" ht="30" customHeight="1"/>
    <row r="146" s="27" customFormat="1" ht="30" customHeight="1"/>
    <row r="147" s="27" customFormat="1" ht="30" customHeight="1"/>
    <row r="148" s="27" customFormat="1" ht="30" customHeight="1"/>
    <row r="149" s="27" customFormat="1" ht="30" customHeight="1"/>
    <row r="150" s="27" customFormat="1" ht="30" customHeight="1"/>
    <row r="151" s="27" customFormat="1" ht="30" customHeight="1"/>
    <row r="152" s="27" customFormat="1" ht="30" customHeight="1"/>
    <row r="153" s="27" customFormat="1" ht="30" customHeight="1"/>
    <row r="154" s="27" customFormat="1" ht="30" customHeight="1"/>
    <row r="155" s="27" customFormat="1" ht="30" customHeight="1"/>
    <row r="156" s="27" customFormat="1" ht="30" customHeight="1"/>
    <row r="157" s="27" customFormat="1" ht="30" customHeight="1"/>
    <row r="158" s="27" customFormat="1" ht="30" customHeight="1"/>
    <row r="159" s="27" customFormat="1" ht="30" customHeight="1"/>
    <row r="160" s="27" customFormat="1" ht="30" customHeight="1"/>
    <row r="161" s="27" customFormat="1" ht="30" customHeight="1"/>
    <row r="162" s="27" customFormat="1" ht="30" customHeight="1"/>
    <row r="163" s="27" customFormat="1" ht="30" customHeight="1"/>
    <row r="164" s="27" customFormat="1" ht="30" customHeight="1"/>
    <row r="165" s="27" customFormat="1" ht="30" customHeight="1"/>
    <row r="166" s="27" customFormat="1" ht="30" customHeight="1"/>
    <row r="167" s="27" customFormat="1" ht="30" customHeight="1"/>
    <row r="168" s="27" customFormat="1" ht="30" customHeight="1"/>
    <row r="169" s="27" customFormat="1" ht="30" customHeight="1"/>
    <row r="170" s="27" customFormat="1" ht="30" customHeight="1"/>
    <row r="171" s="27" customFormat="1" ht="30" customHeight="1"/>
    <row r="172" s="27" customFormat="1" ht="30" customHeight="1"/>
    <row r="173" s="27" customFormat="1" ht="30" customHeight="1"/>
    <row r="174" s="27" customFormat="1" ht="30" customHeight="1"/>
    <row r="175" s="27" customFormat="1" ht="30" customHeight="1"/>
    <row r="176" s="27" customFormat="1" ht="30" customHeight="1"/>
    <row r="177" s="27" customFormat="1" ht="30" customHeight="1"/>
    <row r="178" s="27" customFormat="1" ht="30" customHeight="1"/>
    <row r="179" s="27" customFormat="1" ht="30" customHeight="1"/>
    <row r="180" s="27" customFormat="1" ht="30" customHeight="1"/>
    <row r="181" s="27" customFormat="1" ht="30" customHeight="1"/>
    <row r="182" s="27" customFormat="1" ht="30" customHeight="1"/>
    <row r="183" s="27" customFormat="1" ht="30" customHeight="1"/>
    <row r="184" s="27" customFormat="1" ht="30" customHeight="1"/>
    <row r="185" s="27" customFormat="1" ht="30" customHeight="1"/>
    <row r="186" s="27" customFormat="1" ht="30" customHeight="1"/>
    <row r="187" s="27" customFormat="1" ht="30" customHeight="1"/>
    <row r="188" s="27" customFormat="1" ht="30" customHeight="1"/>
    <row r="189" s="27" customFormat="1" ht="30" customHeight="1"/>
    <row r="190" s="27" customFormat="1" ht="30" customHeight="1"/>
    <row r="191" s="27" customFormat="1" ht="30" customHeight="1"/>
    <row r="192" s="27" customFormat="1" ht="30" customHeight="1"/>
    <row r="193" s="27" customFormat="1" ht="30" customHeight="1"/>
    <row r="194" s="27" customFormat="1" ht="30" customHeight="1"/>
    <row r="195" s="27" customFormat="1" ht="30" customHeight="1"/>
    <row r="196" s="27" customFormat="1" ht="30" customHeight="1"/>
    <row r="197" s="27" customFormat="1" ht="30" customHeight="1"/>
    <row r="198" s="27" customFormat="1" ht="30" customHeight="1"/>
    <row r="199" s="27" customFormat="1" ht="30" customHeight="1"/>
    <row r="200" s="27" customFormat="1" ht="30" customHeight="1"/>
    <row r="201" s="27" customFormat="1" ht="30" customHeight="1"/>
    <row r="202" s="27" customFormat="1" ht="30" customHeight="1"/>
    <row r="203" s="27" customFormat="1" ht="30" customHeight="1"/>
    <row r="204" s="27" customFormat="1" ht="30" customHeight="1"/>
    <row r="205" s="27" customFormat="1" ht="30" customHeight="1"/>
    <row r="206" s="27" customFormat="1" ht="30" customHeight="1"/>
    <row r="207" s="27" customFormat="1" ht="30" customHeight="1"/>
    <row r="208" s="27" customFormat="1" ht="30" customHeight="1"/>
    <row r="209" s="27" customFormat="1" ht="30" customHeight="1"/>
    <row r="210" s="27" customFormat="1" ht="30" customHeight="1"/>
    <row r="211" s="27" customFormat="1" ht="30" customHeight="1"/>
    <row r="212" s="27" customFormat="1" ht="30" customHeight="1"/>
    <row r="213" s="27" customFormat="1" ht="30" customHeight="1"/>
    <row r="214" s="27" customFormat="1" ht="30" customHeight="1"/>
    <row r="215" s="27" customFormat="1" ht="30" customHeight="1"/>
    <row r="216" s="27" customFormat="1" ht="30" customHeight="1"/>
    <row r="217" s="27" customFormat="1" ht="30" customHeight="1"/>
    <row r="218" s="27" customFormat="1" ht="30" customHeight="1"/>
    <row r="219" s="27" customFormat="1" ht="30" customHeight="1"/>
    <row r="220" s="27" customFormat="1" ht="30" customHeight="1"/>
    <row r="221" s="27" customFormat="1" ht="30" customHeight="1"/>
    <row r="222" s="27" customFormat="1" ht="30" customHeight="1"/>
    <row r="223" s="27" customFormat="1" ht="30" customHeight="1"/>
    <row r="224" s="27" customFormat="1" ht="30" customHeight="1"/>
    <row r="225" s="27" customFormat="1" ht="30" customHeight="1"/>
    <row r="226" s="27" customFormat="1" ht="30" customHeight="1"/>
    <row r="227" s="27" customFormat="1" ht="30" customHeight="1"/>
    <row r="228" s="27" customFormat="1" ht="30" customHeight="1"/>
    <row r="229" s="27" customFormat="1" ht="30" customHeight="1"/>
    <row r="230" s="27" customFormat="1" ht="30" customHeight="1"/>
    <row r="231" s="27" customFormat="1" ht="30" customHeight="1"/>
    <row r="232" s="27" customFormat="1" ht="30" customHeight="1"/>
    <row r="233" s="27" customFormat="1" ht="30" customHeight="1"/>
    <row r="234" s="27" customFormat="1" ht="30" customHeight="1"/>
    <row r="235" s="27" customFormat="1" ht="30" customHeight="1"/>
    <row r="236" s="27" customFormat="1" ht="30" customHeight="1"/>
    <row r="237" s="27" customFormat="1" ht="30" customHeight="1"/>
    <row r="238" s="27" customFormat="1" ht="30" customHeight="1"/>
    <row r="239" s="27" customFormat="1" ht="30" customHeight="1"/>
    <row r="240" s="27" customFormat="1" ht="30" customHeight="1"/>
    <row r="241" s="27" customFormat="1" ht="30" customHeight="1"/>
    <row r="242" s="27" customFormat="1" ht="30" customHeight="1"/>
    <row r="243" s="27" customFormat="1" ht="30" customHeight="1"/>
    <row r="244" s="27" customFormat="1" ht="30" customHeight="1"/>
    <row r="245" s="27" customFormat="1" ht="30" customHeight="1"/>
    <row r="246" s="27" customFormat="1" ht="30" customHeight="1"/>
    <row r="247" s="27" customFormat="1" ht="30" customHeight="1"/>
    <row r="248" s="27" customFormat="1" ht="30" customHeight="1"/>
    <row r="249" s="27" customFormat="1" ht="30" customHeight="1"/>
    <row r="250" s="27" customFormat="1" ht="30" customHeight="1"/>
    <row r="251" s="27" customFormat="1" ht="30" customHeight="1"/>
    <row r="252" s="27" customFormat="1" ht="30" customHeight="1"/>
    <row r="253" s="27" customFormat="1" ht="30" customHeight="1"/>
    <row r="254" s="27" customFormat="1" ht="30" customHeight="1"/>
    <row r="255" s="27" customFormat="1" ht="30" customHeight="1"/>
    <row r="256" s="27" customFormat="1" ht="30" customHeight="1"/>
    <row r="257" s="27" customFormat="1" ht="30" customHeight="1"/>
    <row r="258" s="27" customFormat="1" ht="30" customHeight="1"/>
    <row r="259" s="27" customFormat="1" ht="30" customHeight="1"/>
    <row r="260" s="27" customFormat="1" ht="30" customHeight="1"/>
    <row r="261" s="27" customFormat="1" ht="30" customHeight="1"/>
    <row r="262" s="27" customFormat="1" ht="30" customHeight="1"/>
    <row r="263" s="27" customFormat="1" ht="30" customHeight="1"/>
    <row r="264" s="27" customFormat="1" ht="30" customHeight="1"/>
    <row r="265" s="27" customFormat="1" ht="30" customHeight="1"/>
    <row r="266" s="27" customFormat="1" ht="30" customHeight="1"/>
    <row r="267" s="27" customFormat="1" ht="30" customHeight="1"/>
    <row r="268" s="27" customFormat="1" ht="30" customHeight="1"/>
    <row r="269" s="27" customFormat="1" ht="30" customHeight="1"/>
    <row r="270" s="27" customFormat="1" ht="30" customHeight="1"/>
    <row r="271" s="27" customFormat="1" ht="30" customHeight="1"/>
    <row r="272" s="27" customFormat="1" ht="30" customHeight="1"/>
    <row r="273" s="27" customFormat="1" ht="30" customHeight="1"/>
    <row r="274" s="27" customFormat="1" ht="30" customHeight="1"/>
    <row r="275" s="27" customFormat="1" ht="30" customHeight="1"/>
    <row r="276" s="27" customFormat="1" ht="30" customHeight="1"/>
    <row r="277" s="27" customFormat="1" ht="30" customHeight="1"/>
    <row r="278" s="27" customFormat="1" ht="30" customHeight="1"/>
    <row r="279" s="27" customFormat="1" ht="30" customHeight="1"/>
    <row r="280" s="27" customFormat="1" ht="30" customHeight="1"/>
    <row r="281" s="27" customFormat="1" ht="30" customHeight="1"/>
    <row r="282" s="27" customFormat="1" ht="30" customHeight="1"/>
    <row r="283" s="27" customFormat="1" ht="30" customHeight="1"/>
    <row r="284" s="27" customFormat="1" ht="30" customHeight="1"/>
    <row r="285" s="27" customFormat="1" ht="30" customHeight="1"/>
    <row r="286" s="27" customFormat="1" ht="30" customHeight="1"/>
    <row r="287" s="27" customFormat="1" ht="30" customHeight="1"/>
    <row r="288" s="27" customFormat="1" ht="30" customHeight="1"/>
    <row r="289" s="27" customFormat="1" ht="30" customHeight="1"/>
    <row r="290" s="27" customFormat="1" ht="30" customHeight="1"/>
    <row r="291" s="27" customFormat="1" ht="30" customHeight="1"/>
    <row r="292" s="27" customFormat="1" ht="30" customHeight="1"/>
    <row r="293" s="27" customFormat="1" ht="30" customHeight="1"/>
    <row r="294" s="27" customFormat="1" ht="30" customHeight="1"/>
    <row r="295" s="27" customFormat="1" ht="30" customHeight="1"/>
    <row r="296" s="27" customFormat="1" ht="30" customHeight="1"/>
    <row r="297" s="27" customFormat="1" ht="30" customHeight="1"/>
    <row r="298" s="27" customFormat="1" ht="30" customHeight="1"/>
    <row r="299" s="27" customFormat="1" ht="30" customHeight="1"/>
    <row r="300" s="27" customFormat="1" ht="30" customHeight="1"/>
    <row r="301" s="27" customFormat="1" ht="30" customHeight="1"/>
    <row r="302" s="27" customFormat="1" ht="30" customHeight="1"/>
    <row r="303" s="27" customFormat="1" ht="30" customHeight="1"/>
    <row r="304" s="27" customFormat="1" ht="30" customHeight="1"/>
    <row r="305" s="27" customFormat="1" ht="30" customHeight="1"/>
    <row r="306" s="27" customFormat="1" ht="30" customHeight="1"/>
    <row r="307" s="27" customFormat="1" ht="30" customHeight="1"/>
    <row r="308" s="27" customFormat="1" ht="30" customHeight="1"/>
    <row r="309" s="27" customFormat="1" ht="30" customHeight="1"/>
    <row r="310" s="27" customFormat="1" ht="30" customHeight="1"/>
    <row r="311" s="27" customFormat="1" ht="30" customHeight="1"/>
    <row r="312" s="27" customFormat="1" ht="30" customHeight="1"/>
    <row r="313" s="27" customFormat="1" ht="30" customHeight="1"/>
    <row r="314" s="27" customFormat="1" ht="30" customHeight="1"/>
    <row r="315" s="27" customFormat="1" ht="30" customHeight="1"/>
    <row r="316" s="27" customFormat="1" ht="30" customHeight="1"/>
    <row r="317" s="27" customFormat="1" ht="30" customHeight="1"/>
    <row r="318" s="27" customFormat="1" ht="30" customHeight="1"/>
    <row r="319" s="27" customFormat="1" ht="30" customHeight="1"/>
    <row r="320" s="27" customFormat="1" ht="30" customHeight="1"/>
    <row r="321" s="27" customFormat="1" ht="30" customHeight="1"/>
    <row r="322" s="27" customFormat="1" ht="30" customHeight="1"/>
    <row r="323" s="27" customFormat="1" ht="30" customHeight="1"/>
    <row r="324" s="27" customFormat="1" ht="30" customHeight="1"/>
    <row r="325" s="27" customFormat="1" ht="30" customHeight="1"/>
    <row r="326" s="27" customFormat="1" ht="30" customHeight="1"/>
    <row r="327" s="27" customFormat="1" ht="30" customHeight="1"/>
    <row r="328" s="27" customFormat="1" ht="30" customHeight="1"/>
    <row r="329" s="27" customFormat="1" ht="30" customHeight="1"/>
    <row r="330" s="27" customFormat="1" ht="30" customHeight="1"/>
    <row r="331" s="27" customFormat="1" ht="30" customHeight="1"/>
    <row r="332" s="27" customFormat="1" ht="30" customHeight="1"/>
    <row r="333" s="27" customFormat="1" ht="30" customHeight="1"/>
    <row r="334" s="27" customFormat="1" ht="30" customHeight="1"/>
    <row r="335" s="27" customFormat="1" ht="30" customHeight="1"/>
    <row r="336" s="27" customFormat="1" ht="30" customHeight="1"/>
    <row r="337" s="27" customFormat="1" ht="30" customHeight="1"/>
    <row r="338" s="27" customFormat="1" ht="30" customHeight="1"/>
    <row r="339" s="27" customFormat="1" ht="30" customHeight="1"/>
    <row r="340" s="27" customFormat="1" ht="30" customHeight="1"/>
    <row r="341" s="27" customFormat="1" ht="30" customHeight="1"/>
    <row r="342" s="27" customFormat="1" ht="30" customHeight="1"/>
    <row r="343" s="27" customFormat="1" ht="30" customHeight="1"/>
    <row r="344" s="27" customFormat="1" ht="30" customHeight="1"/>
    <row r="345" s="27" customFormat="1" ht="30" customHeight="1"/>
    <row r="346" s="27" customFormat="1" ht="30" customHeight="1"/>
    <row r="347" s="27" customFormat="1" ht="30" customHeight="1"/>
    <row r="348" s="27" customFormat="1" ht="30" customHeight="1"/>
    <row r="349" s="27" customFormat="1" ht="30" customHeight="1"/>
    <row r="350" s="27" customFormat="1" ht="30" customHeight="1"/>
    <row r="351" s="27" customFormat="1" ht="30" customHeight="1"/>
    <row r="352" s="27" customFormat="1" ht="30" customHeight="1"/>
    <row r="353" s="27" customFormat="1" ht="30" customHeight="1"/>
    <row r="354" s="27" customFormat="1" ht="30" customHeight="1"/>
    <row r="355" s="27" customFormat="1" ht="30" customHeight="1"/>
    <row r="356" s="27" customFormat="1" ht="30" customHeight="1"/>
    <row r="357" s="27" customFormat="1" ht="30" customHeight="1"/>
    <row r="358" s="27" customFormat="1" ht="30" customHeight="1"/>
    <row r="359" s="27" customFormat="1" ht="30" customHeight="1"/>
    <row r="360" s="27" customFormat="1" ht="30" customHeight="1"/>
    <row r="361" s="27" customFormat="1" ht="30" customHeight="1"/>
    <row r="362" s="27" customFormat="1" ht="30" customHeight="1"/>
    <row r="363" s="27" customFormat="1" ht="30" customHeight="1"/>
    <row r="364" s="27" customFormat="1" ht="30" customHeight="1"/>
    <row r="365" s="27" customFormat="1" ht="30" customHeight="1"/>
    <row r="366" s="27" customFormat="1" ht="30" customHeight="1"/>
    <row r="367" s="27" customFormat="1" ht="30" customHeight="1"/>
    <row r="368" s="27" customFormat="1" ht="30" customHeight="1"/>
    <row r="369" s="27" customFormat="1" ht="30" customHeight="1"/>
    <row r="370" s="27" customFormat="1" ht="30" customHeight="1"/>
    <row r="371" s="27" customFormat="1" ht="30" customHeight="1"/>
    <row r="372" s="27" customFormat="1" ht="30" customHeight="1"/>
    <row r="373" s="27" customFormat="1" ht="30" customHeight="1"/>
    <row r="374" s="27" customFormat="1" ht="30" customHeight="1"/>
    <row r="375" s="27" customFormat="1" ht="30" customHeight="1"/>
    <row r="376" s="27" customFormat="1" ht="30" customHeight="1"/>
    <row r="377" s="27" customFormat="1" ht="30" customHeight="1"/>
    <row r="378" s="27" customFormat="1" ht="30" customHeight="1"/>
    <row r="379" s="27" customFormat="1" ht="30" customHeight="1"/>
    <row r="380" s="27" customFormat="1" ht="30" customHeight="1"/>
    <row r="381" s="27" customFormat="1" ht="30" customHeight="1"/>
    <row r="382" s="27" customFormat="1" ht="30" customHeight="1"/>
    <row r="383" s="27" customFormat="1" ht="30" customHeight="1"/>
    <row r="384" s="27" customFormat="1" ht="30" customHeight="1"/>
    <row r="385" s="27" customFormat="1" ht="30" customHeight="1"/>
    <row r="386" s="27" customFormat="1" ht="30" customHeight="1"/>
    <row r="387" s="27" customFormat="1" ht="30" customHeight="1"/>
    <row r="388" s="27" customFormat="1" ht="30" customHeight="1"/>
    <row r="389" s="27" customFormat="1" ht="30" customHeight="1"/>
    <row r="390" s="27" customFormat="1" ht="30" customHeight="1"/>
  </sheetData>
  <sheetProtection algorithmName="SHA-512" hashValue="NTKq2kTQ+M+zqpUdww8ZWrXCxfTz6CyKsTV+/ldQKBBeFMmiiNRUZjMmIwYAmeyW76LkVAYsFMqENOcYs52vdA==" saltValue="+ly0FrK/6oORF+Gucs9dCQ==" spinCount="100000" sheet="1" objects="1" scenarios="1"/>
  <mergeCells count="1">
    <mergeCell ref="C90:Q91"/>
  </mergeCells>
  <phoneticPr fontId="34" type="noConversion"/>
  <dataValidations count="7">
    <dataValidation allowBlank="1" showInputMessage="1" showErrorMessage="1" prompt="Enter revenue generated by sales in this column" sqref="C26:D26 C41:D41 C83:D83 C53:D53 C62:D62 C66:D66 C73:D73 C77:D77 C10:D11 C70:D70" xr:uid="{D1D39161-5EEA-48CD-82F8-BA28F6BE9949}"/>
    <dataValidation allowBlank="1" showInputMessage="1" showErrorMessage="1" prompt="This worksheet calculates total sales for each month &amp; year, &amp; total annual sales from different sources. Enter fiscal year starting month in cell AC2 &amp; year in cell AD2" sqref="B9" xr:uid="{6DF39A26-D5AA-4BB9-A744-2E3E5A97B333}"/>
    <dataValidation allowBlank="1" showInputMessage="1" showErrorMessage="1" prompt="This worksheet calculates total sales for each month &amp; year, and total annual sales from different sources. Select fiscal year starting month in cell AC2 &amp; year in cell AD2" sqref="B83:B88 B26:B39 B41:B51 B53:B60 B62:B64 B66:B70 B73:B75 B77:B81 B10:B24" xr:uid="{087F7E82-8AE3-467F-A259-06D955E3F9A4}"/>
    <dataValidation allowBlank="1" showInputMessage="1" showErrorMessage="1" prompt="Enter company name in this cell" sqref="P9" xr:uid="{F2A19C4F-282E-4827-AC5C-6E0F27C3F306}"/>
    <dataValidation allowBlank="1" showInputMessage="1" showErrorMessage="1" prompt="Projection title is in this cell. Enter values in the Revenue table, below, to calculate total sales" sqref="C6:D6 C8 D3 C4" xr:uid="{19912518-BC4B-4D4C-A68D-7F4906BED3EA}"/>
    <dataValidation allowBlank="1" showInputMessage="1" showErrorMessage="1" prompt="Enter a title for the projection period for which total sales are calculated" sqref="C9" xr:uid="{B6AFCDC7-990B-4A50-A5A2-901A8069544E}"/>
    <dataValidation allowBlank="1" showInputMessage="1" showErrorMessage="1" prompt="Automatically calculates proportion of sales from different sources to total sales in this column for the month in this cell" sqref="E7:Q7" xr:uid="{9F08FD4D-0489-4A25-BF92-EDD11D008270}"/>
  </dataValidations>
  <printOptions horizontalCentered="1"/>
  <pageMargins left="0.25" right="0.25" top="0.2" bottom="0.2" header="0.2" footer="0.2"/>
  <pageSetup paperSize="5" fitToHeight="0" orientation="landscape" r:id="rId1"/>
  <headerFooter differentFirst="1">
    <oddFooter>Page &amp;P of &amp;N&amp;L&amp;1#&amp;"Calibri"&amp;10 Internal</oddFooter>
    <firstFooter>&amp;L&amp;1#&amp;"Calibri"&amp;10 Internal</first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Pricelist _ Feb 01.2021</vt:lpstr>
      <vt:lpstr>Daily Valuation Metrics</vt:lpstr>
      <vt:lpstr>'Daily Valuation Metrics'!Print_Area</vt:lpstr>
      <vt:lpstr>'Daily Valuation Metrics'!Print_Titles</vt:lpstr>
      <vt:lpstr>'Daily Valuation Metrics'!Title1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Fajimolu Oludare</dc:creator>
  <cp:lastModifiedBy>Microsoft Office User</cp:lastModifiedBy>
  <cp:lastPrinted>2020-08-28T14:03:00Z</cp:lastPrinted>
  <dcterms:created xsi:type="dcterms:W3CDTF">2015-06-18T15:35:22Z</dcterms:created>
  <dcterms:modified xsi:type="dcterms:W3CDTF">2021-02-01T14:26:03Z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6a2ece7-d45d-4230-86c1-6be47c03aac4_Enabled">
    <vt:lpwstr>True</vt:lpwstr>
  </property>
  <property fmtid="{D5CDD505-2E9C-101B-9397-08002B2CF9AE}" pid="3" name="MSIP_Label_86a2ece7-d45d-4230-86c1-6be47c03aac4_SiteId">
    <vt:lpwstr>d84a9014-710d-4a9d-8901-c26a4d2f2467</vt:lpwstr>
  </property>
  <property fmtid="{D5CDD505-2E9C-101B-9397-08002B2CF9AE}" pid="4" name="MSIP_Label_86a2ece7-d45d-4230-86c1-6be47c03aac4_Ref">
    <vt:lpwstr>https://api.informationprotection.azure.com/api/d84a9014-710d-4a9d-8901-c26a4d2f2467</vt:lpwstr>
  </property>
  <property fmtid="{D5CDD505-2E9C-101B-9397-08002B2CF9AE}" pid="5" name="MSIP_Label_86a2ece7-d45d-4230-86c1-6be47c03aac4_Owner">
    <vt:lpwstr>isulaimon@Coronationmb.com</vt:lpwstr>
  </property>
  <property fmtid="{D5CDD505-2E9C-101B-9397-08002B2CF9AE}" pid="6" name="MSIP_Label_86a2ece7-d45d-4230-86c1-6be47c03aac4_SetDate">
    <vt:lpwstr>2018-03-09T15:34:24.5513416+01:00</vt:lpwstr>
  </property>
  <property fmtid="{D5CDD505-2E9C-101B-9397-08002B2CF9AE}" pid="7" name="MSIP_Label_86a2ece7-d45d-4230-86c1-6be47c03aac4_Name">
    <vt:lpwstr>General</vt:lpwstr>
  </property>
  <property fmtid="{D5CDD505-2E9C-101B-9397-08002B2CF9AE}" pid="8" name="MSIP_Label_86a2ece7-d45d-4230-86c1-6be47c03aac4_Application">
    <vt:lpwstr>Microsoft Azure Information Protection</vt:lpwstr>
  </property>
  <property fmtid="{D5CDD505-2E9C-101B-9397-08002B2CF9AE}" pid="9" name="MSIP_Label_86a2ece7-d45d-4230-86c1-6be47c03aac4_Extended_MSFT_Method">
    <vt:lpwstr>Automatic</vt:lpwstr>
  </property>
  <property fmtid="{D5CDD505-2E9C-101B-9397-08002B2CF9AE}" pid="10" name="Sensitivity">
    <vt:lpwstr>General</vt:lpwstr>
  </property>
</Properties>
</file>