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Victor.Medayedu\Desktop\Victor\Document\Price list\"/>
    </mc:Choice>
  </mc:AlternateContent>
  <xr:revisionPtr revIDLastSave="0" documentId="13_ncr:1_{A8DEB795-F94B-40B0-9795-4EA26489FAF2}" xr6:coauthVersionLast="45" xr6:coauthVersionMax="45" xr10:uidLastSave="{00000000-0000-0000-0000-000000000000}"/>
  <workbookProtection workbookAlgorithmName="SHA-512" workbookHashValue="qPLWzEDvcZDxXV0hC/hB+Mrk3wdFjcQyb/Eghm/pdagCW9iEzzuQewM03SW1bqbk4za11yBiUchR2fU0mTgOJA==" workbookSaltValue="ARdxZobzG6V12oAL0EIcVw==" workbookSpinCount="100000" lockStructure="1"/>
  <bookViews>
    <workbookView xWindow="1650" yWindow="1380" windowWidth="19815" windowHeight="10170" xr2:uid="{00000000-000D-0000-FFFF-FFFF00000000}"/>
  </bookViews>
  <sheets>
    <sheet name="Pricelist _ Sep.30.2020" sheetId="1" r:id="rId1"/>
    <sheet name="Daily Valuation Metrics" sheetId="4" r:id="rId2"/>
  </sheets>
  <externalReferences>
    <externalReference r:id="rId3"/>
  </externalReferences>
  <definedNames>
    <definedName name="_xlnm._FilterDatabase" localSheetId="0" hidden="1">'Pricelist _ Sep.30.2020'!$B$5:$K$5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Metrics'!$A$1:$T$93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4" l="1"/>
  <c r="E75" i="4"/>
  <c r="E55" i="4"/>
  <c r="E56" i="4"/>
  <c r="E57" i="4"/>
  <c r="E58" i="4"/>
  <c r="E59" i="4"/>
  <c r="E60" i="4"/>
  <c r="E54" i="4"/>
  <c r="E43" i="4"/>
  <c r="E44" i="4"/>
  <c r="E45" i="4"/>
  <c r="E46" i="4"/>
  <c r="E47" i="4"/>
  <c r="E48" i="4"/>
  <c r="E49" i="4"/>
  <c r="E50" i="4"/>
  <c r="E51" i="4"/>
  <c r="E42" i="4"/>
  <c r="E28" i="4"/>
  <c r="E29" i="4"/>
  <c r="E30" i="4"/>
  <c r="E31" i="4"/>
  <c r="E32" i="4"/>
  <c r="E33" i="4"/>
  <c r="E34" i="4"/>
  <c r="E35" i="4"/>
  <c r="E36" i="4"/>
  <c r="E37" i="4"/>
  <c r="E38" i="4"/>
  <c r="E39" i="4"/>
  <c r="E27" i="4"/>
  <c r="E12" i="4"/>
  <c r="E13" i="4"/>
  <c r="E14" i="4"/>
  <c r="E15" i="4"/>
  <c r="E16" i="4"/>
  <c r="E17" i="4"/>
  <c r="E18" i="4"/>
  <c r="E19" i="4"/>
  <c r="E20" i="4"/>
  <c r="E21" i="4"/>
  <c r="E22" i="4"/>
  <c r="E23" i="4"/>
  <c r="E24" i="4"/>
  <c r="F24" i="4" s="1"/>
  <c r="E85" i="4" l="1"/>
  <c r="E86" i="4"/>
  <c r="E87" i="4"/>
  <c r="E84" i="4"/>
  <c r="E79" i="4"/>
  <c r="E80" i="4"/>
  <c r="E81" i="4"/>
  <c r="E78" i="4"/>
  <c r="E74" i="4"/>
  <c r="E71" i="4"/>
  <c r="E68" i="4"/>
  <c r="E67" i="4"/>
  <c r="E64" i="4"/>
  <c r="E63" i="4"/>
  <c r="R71" i="4" l="1"/>
  <c r="P71" i="4" l="1"/>
  <c r="F71" i="4"/>
  <c r="P85" i="4" l="1"/>
  <c r="P86" i="4"/>
  <c r="R87" i="4"/>
  <c r="P88" i="4"/>
  <c r="P84" i="4"/>
  <c r="R79" i="4"/>
  <c r="P80" i="4"/>
  <c r="P81" i="4"/>
  <c r="F78" i="4"/>
  <c r="R75" i="4"/>
  <c r="F74" i="4"/>
  <c r="R68" i="4"/>
  <c r="P67" i="4"/>
  <c r="F64" i="4"/>
  <c r="R63" i="4"/>
  <c r="P55" i="4"/>
  <c r="F56" i="4"/>
  <c r="P57" i="4"/>
  <c r="P59" i="4"/>
  <c r="F60" i="4"/>
  <c r="P54" i="4"/>
  <c r="R43" i="4"/>
  <c r="R44" i="4"/>
  <c r="F45" i="4"/>
  <c r="F46" i="4"/>
  <c r="F47" i="4"/>
  <c r="P48" i="4"/>
  <c r="R49" i="4"/>
  <c r="F50" i="4"/>
  <c r="F51" i="4"/>
  <c r="F42" i="4"/>
  <c r="F28" i="4"/>
  <c r="R29" i="4"/>
  <c r="R30" i="4"/>
  <c r="R31" i="4"/>
  <c r="P32" i="4"/>
  <c r="P33" i="4"/>
  <c r="F34" i="4"/>
  <c r="R35" i="4"/>
  <c r="P36" i="4"/>
  <c r="F37" i="4"/>
  <c r="R38" i="4"/>
  <c r="P39" i="4"/>
  <c r="F27" i="4"/>
  <c r="P13" i="4"/>
  <c r="R14" i="4"/>
  <c r="F15" i="4"/>
  <c r="R16" i="4"/>
  <c r="F17" i="4"/>
  <c r="P18" i="4"/>
  <c r="R19" i="4"/>
  <c r="P20" i="4"/>
  <c r="F21" i="4"/>
  <c r="P22" i="4"/>
  <c r="R23" i="4"/>
  <c r="R24" i="4"/>
  <c r="F12" i="4"/>
  <c r="R80" i="4"/>
  <c r="P58" i="4"/>
  <c r="Q67" i="4"/>
  <c r="R34" i="4" l="1"/>
  <c r="R74" i="4"/>
  <c r="R67" i="4"/>
  <c r="P74" i="4"/>
  <c r="P51" i="4"/>
  <c r="F87" i="4"/>
  <c r="P87" i="4"/>
  <c r="F30" i="4"/>
  <c r="F14" i="4"/>
  <c r="P14" i="4"/>
  <c r="R22" i="4"/>
  <c r="R21" i="4"/>
  <c r="R18" i="4"/>
  <c r="P30" i="4"/>
  <c r="R51" i="4"/>
  <c r="F80" i="4"/>
  <c r="P34" i="4"/>
  <c r="F79" i="4"/>
  <c r="F81" i="4"/>
  <c r="P17" i="4"/>
  <c r="R57" i="4"/>
  <c r="P29" i="4"/>
  <c r="P64" i="4"/>
  <c r="R64" i="4"/>
  <c r="F68" i="4"/>
  <c r="R33" i="4"/>
  <c r="F29" i="4"/>
  <c r="R17" i="4"/>
  <c r="F33" i="4"/>
  <c r="R37" i="4"/>
  <c r="R59" i="4"/>
  <c r="P21" i="4"/>
  <c r="P37" i="4"/>
  <c r="R55" i="4"/>
  <c r="P28" i="4"/>
  <c r="F49" i="4"/>
  <c r="R60" i="4"/>
  <c r="P78" i="4"/>
  <c r="P49" i="4"/>
  <c r="R20" i="4"/>
  <c r="R36" i="4"/>
  <c r="P45" i="4"/>
  <c r="P56" i="4"/>
  <c r="P60" i="4"/>
  <c r="F36" i="4"/>
  <c r="F85" i="4"/>
  <c r="P68" i="4"/>
  <c r="P15" i="4"/>
  <c r="F57" i="4"/>
  <c r="P38" i="4"/>
  <c r="R15" i="4"/>
  <c r="F44" i="4"/>
  <c r="P79" i="4"/>
  <c r="F86" i="4"/>
  <c r="F55" i="4"/>
  <c r="F59" i="4"/>
  <c r="F88" i="4"/>
  <c r="F84" i="4"/>
  <c r="R78" i="4"/>
  <c r="P75" i="4"/>
  <c r="F75" i="4"/>
  <c r="P63" i="4"/>
  <c r="F63" i="4"/>
  <c r="F58" i="4"/>
  <c r="F54" i="4"/>
  <c r="F20" i="4"/>
  <c r="R48" i="4"/>
  <c r="F48" i="4"/>
  <c r="R47" i="4"/>
  <c r="P47" i="4"/>
  <c r="P43" i="4"/>
  <c r="F43" i="4"/>
  <c r="R46" i="4"/>
  <c r="R50" i="4"/>
  <c r="P46" i="4"/>
  <c r="P50" i="4"/>
  <c r="P42" i="4"/>
  <c r="R42" i="4"/>
  <c r="F35" i="4"/>
  <c r="P35" i="4"/>
  <c r="P31" i="4"/>
  <c r="R27" i="4"/>
  <c r="P27" i="4"/>
  <c r="P24" i="4"/>
  <c r="F16" i="4"/>
  <c r="P16" i="4"/>
  <c r="F23" i="4"/>
  <c r="P23" i="4"/>
  <c r="F19" i="4"/>
  <c r="F18" i="4"/>
  <c r="P19" i="4"/>
  <c r="F22" i="4"/>
  <c r="R12" i="4"/>
  <c r="P12" i="4"/>
</calcChain>
</file>

<file path=xl/sharedStrings.xml><?xml version="1.0" encoding="utf-8"?>
<sst xmlns="http://schemas.openxmlformats.org/spreadsheetml/2006/main" count="469" uniqueCount="168">
  <si>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</si>
  <si>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</si>
  <si>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</si>
  <si>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</si>
  <si>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</si>
  <si>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</si>
  <si>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</si>
  <si>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</si>
  <si>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</si>
  <si>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</si>
  <si>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</si>
  <si>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</si>
  <si>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</si>
  <si>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</si>
  <si>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</si>
  <si>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</si>
  <si>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</si>
  <si>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</si>
  <si>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</si>
  <si>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</si>
  <si>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</si>
  <si>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</si>
  <si>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</si>
  <si>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</si>
  <si>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</si>
  <si>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</si>
  <si>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</si>
  <si>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</si>
  <si>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</si>
  <si>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</si>
  <si>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</si>
  <si>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</si>
  <si>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</si>
  <si>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</si>
  <si>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</si>
  <si>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</si>
  <si>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</si>
  <si>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</si>
  <si>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</si>
  <si>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</si>
  <si>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</si>
  <si>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</si>
  <si>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</si>
  <si>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</si>
  <si>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</si>
  <si>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</si>
  <si>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</si>
  <si>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</si>
  <si>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</si>
  <si>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</si>
  <si>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</si>
  <si>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</si>
  <si>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CHAMS</t>
  </si>
  <si>
    <t>SEPLAT</t>
  </si>
  <si>
    <t>MTNN</t>
  </si>
  <si>
    <t>CONOIL</t>
  </si>
  <si>
    <t>LIVESTOCK</t>
  </si>
  <si>
    <t>LASACO</t>
  </si>
  <si>
    <t>UNITYBNK</t>
  </si>
  <si>
    <t>CAVERTON</t>
  </si>
  <si>
    <t>JAPAULOIL</t>
  </si>
  <si>
    <t>BERGER</t>
  </si>
  <si>
    <t>ARDOVA</t>
  </si>
  <si>
    <t>MANSARD</t>
  </si>
  <si>
    <t>FIDSON</t>
  </si>
  <si>
    <t>PRESCO</t>
  </si>
  <si>
    <t>NEIMETH</t>
  </si>
  <si>
    <t>CUSTODIAN</t>
  </si>
  <si>
    <t>CUTIX</t>
  </si>
  <si>
    <t>REDSTAREX</t>
  </si>
  <si>
    <t>MBENEFIT</t>
  </si>
  <si>
    <t>CAP</t>
  </si>
  <si>
    <t>AIRTELAFRI</t>
  </si>
  <si>
    <t>BUACEMENT</t>
  </si>
  <si>
    <t>CORNERST</t>
  </si>
  <si>
    <t>CHAMPION</t>
  </si>
  <si>
    <t>LEARNAFRCA</t>
  </si>
  <si>
    <t>LINKASSURE</t>
  </si>
  <si>
    <t>ABCTRANS</t>
  </si>
  <si>
    <t>UAC-PROP</t>
  </si>
  <si>
    <t>NEM</t>
  </si>
  <si>
    <t>NPFMCRFBK</t>
  </si>
  <si>
    <t>CILEASING</t>
  </si>
  <si>
    <t>BETAGLAS</t>
  </si>
  <si>
    <t>Valuation Metrics</t>
  </si>
  <si>
    <t>CLOSE PRICE</t>
  </si>
  <si>
    <t>P/B TTM</t>
  </si>
  <si>
    <t>EPS</t>
  </si>
  <si>
    <t>EV/EBITDA</t>
  </si>
  <si>
    <t>30 DAY RSI</t>
  </si>
  <si>
    <t>30 DAY VOLATILITY</t>
  </si>
  <si>
    <t>100 DAY M/AVG</t>
  </si>
  <si>
    <t>200 DAY M/AVG</t>
  </si>
  <si>
    <t xml:space="preserve">DIV YIELD </t>
  </si>
  <si>
    <t>Banking</t>
  </si>
  <si>
    <t>Column7</t>
  </si>
  <si>
    <t>Column2</t>
  </si>
  <si>
    <t>Column3</t>
  </si>
  <si>
    <t>Column5</t>
  </si>
  <si>
    <t>Column6</t>
  </si>
  <si>
    <t>Column8</t>
  </si>
  <si>
    <t>Column9</t>
  </si>
  <si>
    <t>Column10</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</si>
  <si>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</si>
  <si>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</si>
  <si>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</si>
  <si>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</si>
  <si>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</si>
  <si>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</si>
  <si>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</si>
  <si>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</si>
  <si>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</si>
  <si>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</si>
  <si>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MRS</t>
  </si>
  <si>
    <t>P/E</t>
  </si>
  <si>
    <t>YTD RETURN</t>
  </si>
  <si>
    <t>FULL DIVIDEND (FY'2019)</t>
  </si>
  <si>
    <t>Column1</t>
  </si>
  <si>
    <t>Column4</t>
  </si>
  <si>
    <t>Column11</t>
  </si>
  <si>
    <t>Column13</t>
  </si>
  <si>
    <t>Services</t>
  </si>
  <si>
    <t>Pharmaceuticals</t>
  </si>
  <si>
    <t>Other Financial Institutions</t>
  </si>
  <si>
    <t>Industrial Goods</t>
  </si>
  <si>
    <t>Telecommunications</t>
  </si>
  <si>
    <t>Year End</t>
  </si>
  <si>
    <t>Dec</t>
  </si>
  <si>
    <t>Mar</t>
  </si>
  <si>
    <t>Apr</t>
  </si>
  <si>
    <t>May</t>
  </si>
  <si>
    <t>June</t>
  </si>
  <si>
    <t>Sept</t>
  </si>
  <si>
    <t>P/B</t>
  </si>
  <si>
    <t>30-D VOLATILITY</t>
  </si>
  <si>
    <t>100D -MA</t>
  </si>
  <si>
    <t>200D-MA</t>
  </si>
  <si>
    <t>DIVIDEND</t>
  </si>
  <si>
    <t>DIV YIELD</t>
  </si>
  <si>
    <t>YEAR END</t>
  </si>
  <si>
    <t>30-DAY RSI</t>
  </si>
  <si>
    <t>NNFM</t>
  </si>
  <si>
    <t>BOCGAS</t>
  </si>
  <si>
    <t>IKEJAHOTEL</t>
  </si>
  <si>
    <t>TRANSCOHOT</t>
  </si>
  <si>
    <t>COURTVILLE</t>
  </si>
  <si>
    <t>DAARCOMM</t>
  </si>
  <si>
    <t>SKYAVN</t>
  </si>
  <si>
    <t>REGALINS</t>
  </si>
  <si>
    <t>UPL</t>
  </si>
  <si>
    <t>JOHNHOLT</t>
  </si>
  <si>
    <t>UNIONDAC</t>
  </si>
  <si>
    <t>AFROMEDIA</t>
  </si>
  <si>
    <t>CAPHOTEL</t>
  </si>
  <si>
    <t>DEAPCAP</t>
  </si>
  <si>
    <t>ELLAHLAKES</t>
  </si>
  <si>
    <t>GSPECPLC</t>
  </si>
  <si>
    <t>MEYER</t>
  </si>
  <si>
    <t>MORISON</t>
  </si>
  <si>
    <t>RTBRISCOE</t>
  </si>
  <si>
    <t>SCOA</t>
  </si>
  <si>
    <t>TANTALIZER</t>
  </si>
  <si>
    <t>THOMASWY</t>
  </si>
  <si>
    <t>TRIPPLEG</t>
  </si>
  <si>
    <t>52 WK LOW</t>
  </si>
  <si>
    <t>52 WK HIGH</t>
  </si>
  <si>
    <t>52-WK LOW</t>
  </si>
  <si>
    <t>52-WK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</si>
</sst>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b/>
      <sz val="14"/>
      <color rgb="FF9A6A4F"/>
      <name val="Arial"/>
      <family val="2"/>
    </font>
    <font>
      <b/>
      <sz val="14"/>
      <color theme="1" tint="0.34998626667073579"/>
      <name val="Arial"/>
      <family val="2"/>
    </font>
    <font>
      <sz val="14"/>
      <color theme="1" tint="0.34998626667073579"/>
      <name val="Arial"/>
      <family val="2"/>
    </font>
    <font>
      <sz val="14"/>
      <color rgb="FF006666"/>
      <name val="Arial"/>
      <family val="2"/>
    </font>
    <font>
      <sz val="14"/>
      <color rgb="FFC00000"/>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8" fillId="0" borderId="0" applyNumberFormat="0" applyFill="0" applyBorder="0" applyProtection="0">
      <alignment vertical="center"/>
    </xf>
    <xf numFmtId="167" fontId="34" fillId="0" borderId="13" applyFill="0" applyProtection="0">
      <alignment horizontal="center" vertical="center"/>
    </xf>
    <xf numFmtId="0" fontId="35" fillId="0" borderId="16" applyProtection="0">
      <alignment vertical="center"/>
    </xf>
    <xf numFmtId="9" fontId="36" fillId="0" borderId="0" applyFill="0" applyBorder="0" applyProtection="0">
      <alignment horizontal="right"/>
    </xf>
    <xf numFmtId="0" fontId="37" fillId="0" borderId="0" applyFill="0" applyProtection="0">
      <alignment horizontal="right" vertical="center"/>
    </xf>
    <xf numFmtId="0" fontId="38"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2" borderId="10" xfId="0" applyFont="1" applyFill="1" applyBorder="1" applyAlignment="1">
      <alignment horizontal="left" vertical="center"/>
    </xf>
    <xf numFmtId="164" fontId="21" fillId="2" borderId="10" xfId="1" applyFont="1" applyFill="1" applyBorder="1" applyAlignment="1">
      <alignment horizontal="right" vertical="center"/>
    </xf>
    <xf numFmtId="164" fontId="21" fillId="2" borderId="10" xfId="1" applyFont="1" applyFill="1" applyBorder="1" applyAlignment="1">
      <alignment horizontal="center" vertical="center"/>
    </xf>
    <xf numFmtId="10" fontId="21" fillId="2" borderId="10" xfId="2" applyNumberFormat="1" applyFont="1" applyFill="1" applyBorder="1" applyAlignment="1">
      <alignment horizontal="center" vertical="center"/>
    </xf>
    <xf numFmtId="0" fontId="22" fillId="35" borderId="0" xfId="0" applyFont="1" applyFill="1" applyBorder="1" applyAlignment="1">
      <alignment vertical="center"/>
    </xf>
    <xf numFmtId="164" fontId="23" fillId="35" borderId="0" xfId="1" applyFont="1" applyFill="1" applyBorder="1" applyAlignment="1">
      <alignment horizontal="right" vertical="center"/>
    </xf>
    <xf numFmtId="164" fontId="23" fillId="35" borderId="0" xfId="1" applyFont="1" applyFill="1" applyBorder="1" applyAlignment="1">
      <alignment vertical="center"/>
    </xf>
    <xf numFmtId="165" fontId="23" fillId="35" borderId="0" xfId="1" applyNumberFormat="1" applyFont="1" applyFill="1" applyBorder="1" applyAlignment="1">
      <alignment horizontal="right" vertical="center"/>
    </xf>
    <xf numFmtId="0" fontId="22" fillId="34" borderId="0" xfId="0" applyFont="1" applyFill="1" applyBorder="1" applyAlignment="1">
      <alignment vertical="center"/>
    </xf>
    <xf numFmtId="164" fontId="23" fillId="34" borderId="0" xfId="1" applyFont="1" applyFill="1" applyBorder="1" applyAlignment="1">
      <alignment horizontal="right" vertical="center"/>
    </xf>
    <xf numFmtId="164" fontId="23" fillId="34" borderId="0" xfId="1" applyFont="1" applyFill="1" applyBorder="1" applyAlignment="1">
      <alignment vertical="center"/>
    </xf>
    <xf numFmtId="165" fontId="23" fillId="2" borderId="0" xfId="1" applyNumberFormat="1" applyFont="1" applyFill="1" applyBorder="1" applyAlignment="1">
      <alignment horizontal="right" vertical="center"/>
    </xf>
    <xf numFmtId="164" fontId="23" fillId="2" borderId="0" xfId="1" applyFont="1" applyFill="1" applyBorder="1" applyAlignment="1">
      <alignment horizontal="right" vertical="center"/>
    </xf>
    <xf numFmtId="2" fontId="25" fillId="35" borderId="0" xfId="1" applyNumberFormat="1" applyFont="1" applyFill="1" applyBorder="1" applyAlignment="1">
      <alignment horizontal="center" vertical="center"/>
    </xf>
    <xf numFmtId="10" fontId="25" fillId="35" borderId="0" xfId="2" applyNumberFormat="1" applyFont="1" applyFill="1" applyBorder="1" applyAlignment="1">
      <alignment horizontal="center" vertical="center"/>
    </xf>
    <xf numFmtId="2" fontId="23" fillId="34" borderId="0" xfId="1" applyNumberFormat="1" applyFont="1" applyFill="1" applyBorder="1" applyAlignment="1">
      <alignment horizontal="center" vertical="center"/>
    </xf>
    <xf numFmtId="10" fontId="23" fillId="2" borderId="0" xfId="2" applyNumberFormat="1" applyFont="1" applyFill="1" applyBorder="1" applyAlignment="1">
      <alignment horizontal="center" vertical="center"/>
    </xf>
    <xf numFmtId="2" fontId="23" fillId="35" borderId="0" xfId="1" applyNumberFormat="1" applyFont="1" applyFill="1" applyBorder="1" applyAlignment="1">
      <alignment horizontal="center" vertical="center"/>
    </xf>
    <xf numFmtId="10" fontId="23" fillId="35" borderId="0" xfId="2" applyNumberFormat="1" applyFont="1" applyFill="1" applyBorder="1" applyAlignment="1">
      <alignment horizontal="center" vertical="center"/>
    </xf>
    <xf numFmtId="2" fontId="24" fillId="35" borderId="0" xfId="1" applyNumberFormat="1" applyFont="1" applyFill="1" applyBorder="1" applyAlignment="1">
      <alignment horizontal="center" vertical="center"/>
    </xf>
    <xf numFmtId="10" fontId="24" fillId="35" borderId="0" xfId="2" applyNumberFormat="1" applyFont="1" applyFill="1" applyBorder="1" applyAlignment="1">
      <alignment horizontal="center" vertical="center"/>
    </xf>
    <xf numFmtId="2" fontId="24" fillId="34" borderId="0" xfId="1" applyNumberFormat="1" applyFont="1" applyFill="1" applyBorder="1" applyAlignment="1">
      <alignment horizontal="center" vertical="center"/>
    </xf>
    <xf numFmtId="10" fontId="24" fillId="2" borderId="0" xfId="2" applyNumberFormat="1" applyFont="1" applyFill="1" applyBorder="1" applyAlignment="1">
      <alignment horizontal="center" vertical="center"/>
    </xf>
    <xf numFmtId="2" fontId="25" fillId="34" borderId="0" xfId="1" applyNumberFormat="1" applyFont="1" applyFill="1" applyBorder="1" applyAlignment="1">
      <alignment horizontal="center" vertical="center"/>
    </xf>
    <xf numFmtId="10" fontId="25" fillId="2" borderId="0" xfId="2" applyNumberFormat="1" applyFont="1" applyFill="1" applyBorder="1" applyAlignment="1">
      <alignment horizontal="center" vertical="center"/>
    </xf>
    <xf numFmtId="0" fontId="26" fillId="0" borderId="0" xfId="0" applyFont="1"/>
    <xf numFmtId="0" fontId="26" fillId="0" borderId="0" xfId="0" applyFont="1" applyAlignment="1">
      <alignment horizontal="center"/>
    </xf>
    <xf numFmtId="0" fontId="27" fillId="0" borderId="0" xfId="0" applyFont="1"/>
    <xf numFmtId="0" fontId="29" fillId="0" borderId="0" xfId="44" applyFont="1" applyBorder="1">
      <alignment vertical="center"/>
    </xf>
    <xf numFmtId="0" fontId="30" fillId="0" borderId="0" xfId="44" applyFont="1" applyBorder="1">
      <alignment vertical="center"/>
    </xf>
    <xf numFmtId="10" fontId="26" fillId="0" borderId="0" xfId="0" applyNumberFormat="1" applyFont="1" applyAlignment="1">
      <alignment horizontal="center"/>
    </xf>
    <xf numFmtId="0" fontId="32" fillId="0" borderId="0" xfId="0" applyFont="1"/>
    <xf numFmtId="0" fontId="33" fillId="0" borderId="0" xfId="44" applyFont="1" applyBorder="1">
      <alignment vertical="center"/>
    </xf>
    <xf numFmtId="0" fontId="33" fillId="0" borderId="12" xfId="44" applyFont="1" applyBorder="1">
      <alignment vertical="center"/>
    </xf>
    <xf numFmtId="0" fontId="26" fillId="0" borderId="15" xfId="0" applyFont="1" applyBorder="1"/>
    <xf numFmtId="10" fontId="26" fillId="0" borderId="0" xfId="0" applyNumberFormat="1" applyFont="1"/>
    <xf numFmtId="0" fontId="26" fillId="0" borderId="0" xfId="0" applyFont="1" applyAlignment="1">
      <alignment horizontal="left"/>
    </xf>
    <xf numFmtId="0" fontId="26" fillId="2" borderId="0" xfId="0" applyFont="1" applyFill="1" applyAlignment="1">
      <alignment horizontal="left" vertical="center" wrapText="1"/>
    </xf>
    <xf numFmtId="0" fontId="26" fillId="2" borderId="0" xfId="0" applyFont="1" applyFill="1"/>
    <xf numFmtId="0" fontId="26" fillId="2" borderId="0" xfId="0" applyFont="1" applyFill="1" applyAlignment="1">
      <alignment horizontal="left" wrapText="1"/>
    </xf>
    <xf numFmtId="0" fontId="26" fillId="39" borderId="0" xfId="0" applyFont="1" applyFill="1"/>
    <xf numFmtId="0" fontId="27" fillId="0" borderId="0" xfId="0" applyFont="1" applyBorder="1"/>
    <xf numFmtId="10" fontId="26" fillId="0" borderId="14" xfId="0" applyNumberFormat="1" applyFont="1" applyBorder="1"/>
    <xf numFmtId="0" fontId="40" fillId="36" borderId="14" xfId="0" applyFont="1" applyFill="1" applyBorder="1"/>
    <xf numFmtId="0" fontId="40" fillId="36" borderId="0" xfId="0" applyFont="1" applyFill="1"/>
    <xf numFmtId="167" fontId="41" fillId="36" borderId="23" xfId="45" applyFont="1" applyFill="1" applyBorder="1" applyAlignment="1">
      <alignment horizontal="center" vertical="center" wrapText="1"/>
    </xf>
    <xf numFmtId="167" fontId="41" fillId="36" borderId="23" xfId="45" applyFont="1" applyFill="1" applyBorder="1">
      <alignment horizontal="center" vertical="center"/>
    </xf>
    <xf numFmtId="167" fontId="41" fillId="36" borderId="18" xfId="45" applyFont="1" applyFill="1" applyBorder="1" applyAlignment="1">
      <alignment horizontal="center" vertical="center" wrapText="1"/>
    </xf>
    <xf numFmtId="0" fontId="42" fillId="0" borderId="28" xfId="44" applyFont="1" applyBorder="1">
      <alignment vertical="center"/>
    </xf>
    <xf numFmtId="0" fontId="43" fillId="0" borderId="14" xfId="0" applyFont="1" applyBorder="1" applyAlignment="1">
      <alignment horizontal="center" vertical="center"/>
    </xf>
    <xf numFmtId="0" fontId="44" fillId="0" borderId="0" xfId="0" applyFont="1"/>
    <xf numFmtId="0" fontId="40" fillId="0" borderId="0" xfId="0" applyFont="1"/>
    <xf numFmtId="0" fontId="40" fillId="0" borderId="0" xfId="0" applyFont="1" applyBorder="1"/>
    <xf numFmtId="0" fontId="40" fillId="0" borderId="15" xfId="0" applyFont="1" applyBorder="1"/>
    <xf numFmtId="0" fontId="45" fillId="0" borderId="26" xfId="46" applyFont="1" applyBorder="1">
      <alignment vertical="center"/>
    </xf>
    <xf numFmtId="9" fontId="46" fillId="0" borderId="0" xfId="47" applyFont="1" applyBorder="1">
      <alignment horizontal="right"/>
    </xf>
    <xf numFmtId="0" fontId="47" fillId="0" borderId="0" xfId="0" applyFont="1" applyAlignment="1">
      <alignment horizontal="right" vertical="center"/>
    </xf>
    <xf numFmtId="0" fontId="45" fillId="0" borderId="0" xfId="48" applyFont="1" applyBorder="1">
      <alignment horizontal="right" vertical="center"/>
    </xf>
    <xf numFmtId="0" fontId="47" fillId="0" borderId="15" xfId="0" applyFont="1" applyBorder="1" applyAlignment="1">
      <alignment horizontal="right" vertical="center"/>
    </xf>
    <xf numFmtId="0" fontId="42" fillId="37" borderId="12" xfId="49" applyFont="1" applyFill="1" applyBorder="1" applyAlignment="1">
      <alignment horizontal="left" vertical="center" indent="1"/>
    </xf>
    <xf numFmtId="0" fontId="48" fillId="37" borderId="12" xfId="49" applyFont="1" applyFill="1" applyBorder="1" applyAlignment="1">
      <alignment horizontal="left" vertical="center" indent="1"/>
    </xf>
    <xf numFmtId="168" fontId="49" fillId="37" borderId="12" xfId="0" applyNumberFormat="1" applyFont="1" applyFill="1" applyBorder="1" applyAlignment="1">
      <alignment horizontal="right"/>
    </xf>
    <xf numFmtId="168" fontId="40" fillId="37" borderId="12" xfId="0" applyNumberFormat="1" applyFont="1" applyFill="1" applyBorder="1" applyAlignment="1">
      <alignment horizontal="right"/>
    </xf>
    <xf numFmtId="168" fontId="40" fillId="37" borderId="12" xfId="0" applyNumberFormat="1" applyFont="1" applyFill="1" applyBorder="1" applyAlignment="1">
      <alignment horizontal="center"/>
    </xf>
    <xf numFmtId="168" fontId="40" fillId="37" borderId="17" xfId="0" applyNumberFormat="1" applyFont="1" applyFill="1" applyBorder="1" applyAlignment="1">
      <alignment horizontal="center"/>
    </xf>
    <xf numFmtId="168" fontId="40" fillId="37" borderId="25" xfId="0" applyNumberFormat="1" applyFont="1" applyFill="1" applyBorder="1" applyAlignment="1">
      <alignment horizontal="center"/>
    </xf>
    <xf numFmtId="0" fontId="42" fillId="37" borderId="23" xfId="49" applyFont="1" applyFill="1" applyBorder="1" applyAlignment="1">
      <alignment horizontal="left" vertical="center" indent="1"/>
    </xf>
    <xf numFmtId="168" fontId="40" fillId="37" borderId="23" xfId="0" applyNumberFormat="1" applyFont="1" applyFill="1" applyBorder="1" applyAlignment="1">
      <alignment horizontal="right"/>
    </xf>
    <xf numFmtId="168" fontId="40" fillId="37" borderId="23" xfId="0" applyNumberFormat="1" applyFont="1" applyFill="1" applyBorder="1" applyAlignment="1">
      <alignment horizontal="center"/>
    </xf>
    <xf numFmtId="168" fontId="40" fillId="37" borderId="18" xfId="0" applyNumberFormat="1" applyFont="1" applyFill="1" applyBorder="1" applyAlignment="1">
      <alignment horizontal="right"/>
    </xf>
    <xf numFmtId="0" fontId="49" fillId="0" borderId="20" xfId="0" applyFont="1" applyBorder="1"/>
    <xf numFmtId="0" fontId="40" fillId="0" borderId="20" xfId="0" applyFont="1" applyBorder="1"/>
    <xf numFmtId="0" fontId="40" fillId="0" borderId="21" xfId="0" applyFont="1" applyBorder="1"/>
    <xf numFmtId="0" fontId="40" fillId="0" borderId="22" xfId="0" applyFont="1" applyBorder="1"/>
    <xf numFmtId="10" fontId="40" fillId="0" borderId="22" xfId="0" applyNumberFormat="1" applyFont="1" applyBorder="1"/>
    <xf numFmtId="10" fontId="40" fillId="0" borderId="20" xfId="0" applyNumberFormat="1" applyFont="1" applyBorder="1"/>
    <xf numFmtId="0" fontId="40" fillId="0" borderId="18" xfId="0" applyFont="1" applyBorder="1"/>
    <xf numFmtId="2" fontId="46" fillId="37" borderId="19" xfId="47" applyNumberFormat="1" applyFont="1" applyFill="1" applyBorder="1" applyAlignment="1">
      <alignment horizontal="center" vertical="center"/>
    </xf>
    <xf numFmtId="2" fontId="46" fillId="37" borderId="19" xfId="47" applyNumberFormat="1" applyFont="1" applyFill="1" applyBorder="1" applyAlignment="1">
      <alignment horizontal="center" vertical="center" wrapText="1"/>
    </xf>
    <xf numFmtId="0" fontId="40" fillId="0" borderId="26" xfId="0" applyFont="1" applyBorder="1"/>
    <xf numFmtId="0" fontId="40" fillId="0" borderId="23" xfId="0" applyFont="1" applyBorder="1"/>
    <xf numFmtId="10" fontId="40" fillId="0" borderId="0" xfId="0" applyNumberFormat="1" applyFont="1"/>
    <xf numFmtId="10" fontId="40" fillId="0" borderId="23" xfId="0" applyNumberFormat="1" applyFont="1" applyBorder="1"/>
    <xf numFmtId="0" fontId="50" fillId="0" borderId="18" xfId="50" applyFont="1" applyBorder="1" applyAlignment="1">
      <alignment horizontal="left" vertical="center" wrapText="1" indent="1"/>
    </xf>
    <xf numFmtId="9" fontId="46" fillId="0" borderId="19" xfId="47" applyFont="1" applyBorder="1">
      <alignment horizontal="right"/>
    </xf>
    <xf numFmtId="2" fontId="51" fillId="37" borderId="19" xfId="47" applyNumberFormat="1" applyFont="1" applyFill="1" applyBorder="1" applyAlignment="1">
      <alignment horizontal="center" vertical="center"/>
    </xf>
    <xf numFmtId="2" fontId="46" fillId="38" borderId="19" xfId="47" applyNumberFormat="1" applyFont="1" applyFill="1" applyBorder="1" applyAlignment="1">
      <alignment horizontal="center" vertical="center"/>
    </xf>
    <xf numFmtId="10" fontId="46" fillId="38" borderId="19" xfId="47" applyNumberFormat="1" applyFont="1" applyFill="1" applyBorder="1" applyAlignment="1">
      <alignment horizontal="center" vertical="center"/>
    </xf>
    <xf numFmtId="10" fontId="46" fillId="37" borderId="19" xfId="47" applyNumberFormat="1" applyFont="1" applyFill="1" applyBorder="1" applyAlignment="1">
      <alignment horizontal="center" vertical="center"/>
    </xf>
    <xf numFmtId="0" fontId="50" fillId="0" borderId="19" xfId="50" applyFont="1" applyBorder="1" applyAlignment="1">
      <alignment horizontal="left" vertical="center" wrapText="1" indent="1"/>
    </xf>
    <xf numFmtId="0" fontId="53" fillId="0" borderId="18" xfId="50" applyFont="1" applyBorder="1" applyAlignment="1">
      <alignment horizontal="left" vertical="center" wrapText="1" indent="1"/>
    </xf>
    <xf numFmtId="0" fontId="53" fillId="0" borderId="19" xfId="50" applyFont="1" applyBorder="1" applyAlignment="1">
      <alignment horizontal="left" vertical="center" wrapText="1" indent="1"/>
    </xf>
    <xf numFmtId="0" fontId="54" fillId="37" borderId="24" xfId="49" applyFont="1" applyFill="1" applyBorder="1" applyAlignment="1">
      <alignment horizontal="left" vertical="center" indent="1"/>
    </xf>
    <xf numFmtId="0" fontId="55" fillId="0" borderId="26" xfId="0" applyFont="1" applyBorder="1"/>
    <xf numFmtId="0" fontId="55" fillId="0" borderId="24" xfId="0" applyFont="1" applyBorder="1"/>
    <xf numFmtId="0" fontId="55" fillId="0" borderId="27" xfId="0" applyFont="1" applyBorder="1"/>
    <xf numFmtId="0" fontId="54" fillId="37" borderId="23" xfId="49" applyFont="1" applyFill="1" applyBorder="1" applyAlignment="1">
      <alignment horizontal="left" vertical="center" indent="1"/>
    </xf>
    <xf numFmtId="166" fontId="31" fillId="0" borderId="0" xfId="44" applyNumberFormat="1" applyFont="1" applyBorder="1" applyAlignment="1">
      <alignment vertical="center"/>
    </xf>
    <xf numFmtId="0" fontId="52"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6">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5"/>
      <tableStyleElement type="headerRow" dxfId="24"/>
      <tableStyleElement type="totalRow" dxfId="23"/>
      <tableStyleElement type="firstRowStripe" dxfId="22"/>
      <tableStyleElement type="secondRowStripe" dxfId="21"/>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13607</xdr:colOff>
      <xdr:row>103</xdr:row>
      <xdr:rowOff>26311</xdr:rowOff>
    </xdr:from>
    <xdr:to>
      <xdr:col>11</xdr:col>
      <xdr:colOff>13607</xdr:colOff>
      <xdr:row>109</xdr:row>
      <xdr:rowOff>135169</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503464" y="24791311"/>
          <a:ext cx="13117286" cy="1170215"/>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1023257</xdr:colOff>
      <xdr:row>0</xdr:row>
      <xdr:rowOff>55523</xdr:rowOff>
    </xdr:from>
    <xdr:to>
      <xdr:col>11</xdr:col>
      <xdr:colOff>149679</xdr:colOff>
      <xdr:row>3</xdr:row>
      <xdr:rowOff>189407</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3971" y="55523"/>
          <a:ext cx="3412672" cy="1725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345623</xdr:colOff>
      <xdr:row>0</xdr:row>
      <xdr:rowOff>219044</xdr:rowOff>
    </xdr:from>
    <xdr:to>
      <xdr:col>18</xdr:col>
      <xdr:colOff>725714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R25" totalsRowShown="0" headerRowDxfId="20" dataDxfId="18" totalsRowDxfId="16" headerRowBorderDxfId="19" tableBorderDxfId="17" dataCellStyle="Percent">
  <autoFilter ref="C10:R25" xr:uid="{21F5237A-27C8-0047-A692-66F799042578}"/>
  <tableColumns count="16">
    <tableColumn id="1" xr3:uid="{4A910E91-F2F6-4B5C-BCA9-A1F920FB1CDC}" name="Column1" dataDxfId="15" dataCellStyle="Table Details"/>
    <tableColumn id="20" xr3:uid="{609E4361-B87A-430A-82A8-7C70E7AF7BE5}" name="Column2" dataDxfId="14" dataCellStyle="Table Details"/>
    <tableColumn id="16" xr3:uid="{003D84A4-6D2C-4E2F-AA6F-95263E26D02D}" name="Column3" dataDxfId="13" dataCellStyle="Percent"/>
    <tableColumn id="17" xr3:uid="{D46FDBFE-CA9C-42CE-92E7-55A875F176A1}" name="Column4" dataDxfId="12" dataCellStyle="Percent"/>
    <tableColumn id="32" xr3:uid="{552C3563-7020-4F55-8C3A-952B2F6A1D13}" name="Column5" dataDxfId="11" dataCellStyle="Percent"/>
    <tableColumn id="19" xr3:uid="{447597BD-262D-4921-8BCE-6056BE58B953}" name="Column6" dataDxfId="10" dataCellStyle="Percent"/>
    <tableColumn id="21" xr3:uid="{03C7853E-9E40-4839-9DFD-022BEE3C34C0}" name="Column7" dataDxfId="9" dataCellStyle="Percent"/>
    <tableColumn id="7" xr3:uid="{901EEABF-F063-489A-951C-625FDFDCCEA8}" name="Column8" dataDxfId="8" dataCellStyle="Percent"/>
    <tableColumn id="9" xr3:uid="{C62AF590-7E92-41F5-90DB-D7A597F5E444}" name="Column9" dataDxfId="7" dataCellStyle="Percent"/>
    <tableColumn id="22" xr3:uid="{0AB3D638-15DE-407E-B3DC-F334195ADCED}" name="Column10" dataDxfId="6" dataCellStyle="Percent"/>
    <tableColumn id="23" xr3:uid="{7FEA7ABA-0F4B-4E5D-B901-1D6D4E82DECD}" name="Column11"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03"/>
  <sheetViews>
    <sheetView showGridLines="0" tabSelected="1" zoomScale="70" zoomScaleNormal="70" zoomScaleSheetLayoutView="85" workbookViewId="0">
      <selection activeCell="F3" sqref="F3"/>
    </sheetView>
  </sheetViews>
  <sheetFormatPr defaultColWidth="9.140625" defaultRowHeight="14.25"/>
  <cols>
    <col min="1" max="1" width="7.42578125" style="1" customWidth="1"/>
    <col min="2" max="2" width="20.42578125" style="2" bestFit="1" customWidth="1"/>
    <col min="3" max="3" width="21.42578125" style="3" customWidth="1"/>
    <col min="4" max="4" width="18" style="4" bestFit="1" customWidth="1"/>
    <col min="5" max="5" width="16.7109375" style="4" bestFit="1" customWidth="1"/>
    <col min="6" max="6" width="16.28515625" style="4" bestFit="1" customWidth="1"/>
    <col min="7" max="7" width="18.42578125" style="4" bestFit="1" customWidth="1"/>
    <col min="8" max="8" width="21.140625" style="5" bestFit="1" customWidth="1"/>
    <col min="9" max="9" width="17.85546875" style="7" bestFit="1" customWidth="1"/>
    <col min="10" max="10" width="21.140625" style="6" bestFit="1" customWidth="1"/>
    <col min="11" max="11" width="25.140625" style="3" bestFit="1" customWidth="1"/>
    <col min="12" max="16384" width="9.1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12" t="s">
        <v>30</v>
      </c>
      <c r="C5" s="13" t="s">
        <v>31</v>
      </c>
      <c r="D5" s="13" t="s">
        <v>32</v>
      </c>
      <c r="E5" s="13" t="s">
        <v>33</v>
      </c>
      <c r="F5" s="13" t="s">
        <v>34</v>
      </c>
      <c r="G5" s="13" t="s">
        <v>35</v>
      </c>
      <c r="H5" s="14" t="s">
        <v>36</v>
      </c>
      <c r="I5" s="15" t="s">
        <v>37</v>
      </c>
      <c r="J5" s="13" t="s">
        <v>38</v>
      </c>
      <c r="K5" s="13" t="s">
        <v>41</v>
      </c>
    </row>
    <row r="6" spans="2:15" ht="18">
      <c r="B6" s="20" t="s">
        <v>78</v>
      </c>
      <c r="C6" s="21">
        <v>0.3</v>
      </c>
      <c r="D6" s="21">
        <v>0.3</v>
      </c>
      <c r="E6" s="21">
        <v>0.3</v>
      </c>
      <c r="F6" s="21">
        <v>0.28000000000000003</v>
      </c>
      <c r="G6" s="22">
        <v>0.3</v>
      </c>
      <c r="H6" s="27">
        <v>0</v>
      </c>
      <c r="I6" s="28">
        <v>0</v>
      </c>
      <c r="J6" s="23">
        <v>614565</v>
      </c>
      <c r="K6" s="24">
        <v>177401.45</v>
      </c>
    </row>
    <row r="7" spans="2:15" ht="18">
      <c r="B7" s="16" t="s">
        <v>0</v>
      </c>
      <c r="C7" s="17">
        <v>6.7</v>
      </c>
      <c r="D7" s="17">
        <v>6.7</v>
      </c>
      <c r="E7" s="17">
        <v>6.75</v>
      </c>
      <c r="F7" s="17">
        <v>6.65</v>
      </c>
      <c r="G7" s="18">
        <v>6.7</v>
      </c>
      <c r="H7" s="29">
        <v>0</v>
      </c>
      <c r="I7" s="30">
        <v>0</v>
      </c>
      <c r="J7" s="19">
        <v>46104480</v>
      </c>
      <c r="K7" s="17">
        <v>308345224.30000001</v>
      </c>
    </row>
    <row r="8" spans="2:15" ht="18">
      <c r="B8" s="20" t="s">
        <v>1</v>
      </c>
      <c r="C8" s="21">
        <v>4.68</v>
      </c>
      <c r="D8" s="21">
        <v>4.68</v>
      </c>
      <c r="E8" s="21">
        <v>4.71</v>
      </c>
      <c r="F8" s="21">
        <v>4.71</v>
      </c>
      <c r="G8" s="22">
        <v>4.71</v>
      </c>
      <c r="H8" s="33">
        <v>3.0000000000000249E-2</v>
      </c>
      <c r="I8" s="34">
        <v>6.4102564102563875E-3</v>
      </c>
      <c r="J8" s="23">
        <v>780507</v>
      </c>
      <c r="K8" s="24">
        <v>3664863.74</v>
      </c>
      <c r="O8" s="10"/>
    </row>
    <row r="9" spans="2:15" ht="18">
      <c r="B9" s="16" t="s">
        <v>152</v>
      </c>
      <c r="C9" s="17">
        <v>0.2</v>
      </c>
      <c r="D9" s="17">
        <v>0.2</v>
      </c>
      <c r="E9" s="17">
        <v>0.2</v>
      </c>
      <c r="F9" s="17">
        <v>0.2</v>
      </c>
      <c r="G9" s="18">
        <v>0.2</v>
      </c>
      <c r="H9" s="29">
        <v>0</v>
      </c>
      <c r="I9" s="30">
        <v>0</v>
      </c>
      <c r="J9" s="19">
        <v>200</v>
      </c>
      <c r="K9" s="17">
        <v>40</v>
      </c>
      <c r="O9" s="10"/>
    </row>
    <row r="10" spans="2:15" ht="18">
      <c r="B10" s="20" t="s">
        <v>2</v>
      </c>
      <c r="C10" s="21">
        <v>0.84</v>
      </c>
      <c r="D10" s="21">
        <v>0.84</v>
      </c>
      <c r="E10" s="21">
        <v>0.84</v>
      </c>
      <c r="F10" s="21">
        <v>0.82</v>
      </c>
      <c r="G10" s="22">
        <v>0.82</v>
      </c>
      <c r="H10" s="35">
        <v>-2.0000000000000018E-2</v>
      </c>
      <c r="I10" s="36">
        <v>-2.3809523809523836E-2</v>
      </c>
      <c r="J10" s="23">
        <v>3953652</v>
      </c>
      <c r="K10" s="24">
        <v>3303547.15</v>
      </c>
      <c r="O10" s="10"/>
    </row>
    <row r="11" spans="2:15" ht="18">
      <c r="B11" s="16" t="s">
        <v>72</v>
      </c>
      <c r="C11" s="17">
        <v>380</v>
      </c>
      <c r="D11" s="17">
        <v>380</v>
      </c>
      <c r="E11" s="18">
        <v>380</v>
      </c>
      <c r="F11" s="18">
        <v>380</v>
      </c>
      <c r="G11" s="18">
        <v>380</v>
      </c>
      <c r="H11" s="29">
        <v>0</v>
      </c>
      <c r="I11" s="30">
        <v>0</v>
      </c>
      <c r="J11" s="19">
        <v>7881</v>
      </c>
      <c r="K11" s="17">
        <v>3084349.1</v>
      </c>
      <c r="O11" s="10"/>
    </row>
    <row r="12" spans="2:15" ht="18">
      <c r="B12" s="20" t="s">
        <v>62</v>
      </c>
      <c r="C12" s="21">
        <v>11</v>
      </c>
      <c r="D12" s="21">
        <v>11</v>
      </c>
      <c r="E12" s="21">
        <v>11</v>
      </c>
      <c r="F12" s="21">
        <v>11</v>
      </c>
      <c r="G12" s="22">
        <v>11</v>
      </c>
      <c r="H12" s="27">
        <v>0</v>
      </c>
      <c r="I12" s="28">
        <v>0</v>
      </c>
      <c r="J12" s="23">
        <v>139866</v>
      </c>
      <c r="K12" s="24">
        <v>1538305.2</v>
      </c>
      <c r="N12" s="11"/>
      <c r="O12" s="10"/>
    </row>
    <row r="13" spans="2:15" ht="18">
      <c r="B13" s="16" t="s">
        <v>61</v>
      </c>
      <c r="C13" s="17">
        <v>6.5</v>
      </c>
      <c r="D13" s="17">
        <v>6.5</v>
      </c>
      <c r="E13" s="17">
        <v>6.5</v>
      </c>
      <c r="F13" s="17">
        <v>6.5</v>
      </c>
      <c r="G13" s="18">
        <v>6.5</v>
      </c>
      <c r="H13" s="29">
        <v>0</v>
      </c>
      <c r="I13" s="30">
        <v>0</v>
      </c>
      <c r="J13" s="19">
        <v>6420</v>
      </c>
      <c r="K13" s="17">
        <v>39438.1</v>
      </c>
    </row>
    <row r="14" spans="2:15" ht="18">
      <c r="B14" s="20" t="s">
        <v>83</v>
      </c>
      <c r="C14" s="21">
        <v>55.4</v>
      </c>
      <c r="D14" s="21">
        <v>55.4</v>
      </c>
      <c r="E14" s="21">
        <v>55.4</v>
      </c>
      <c r="F14" s="21">
        <v>55.4</v>
      </c>
      <c r="G14" s="22">
        <v>55.4</v>
      </c>
      <c r="H14" s="27">
        <v>0</v>
      </c>
      <c r="I14" s="28">
        <v>0</v>
      </c>
      <c r="J14" s="23">
        <v>2515</v>
      </c>
      <c r="K14" s="24">
        <v>125498.5</v>
      </c>
    </row>
    <row r="15" spans="2:15" ht="18">
      <c r="B15" s="16" t="s">
        <v>142</v>
      </c>
      <c r="C15" s="17">
        <v>4.25</v>
      </c>
      <c r="D15" s="17">
        <v>4.25</v>
      </c>
      <c r="E15" s="17">
        <v>4.25</v>
      </c>
      <c r="F15" s="17">
        <v>4.25</v>
      </c>
      <c r="G15" s="18">
        <v>4.25</v>
      </c>
      <c r="H15" s="29">
        <v>0</v>
      </c>
      <c r="I15" s="30">
        <v>0</v>
      </c>
      <c r="J15" s="19">
        <v>1200</v>
      </c>
      <c r="K15" s="17">
        <v>5100</v>
      </c>
    </row>
    <row r="16" spans="2:15" ht="18">
      <c r="B16" s="20" t="s">
        <v>73</v>
      </c>
      <c r="C16" s="21">
        <v>41.75</v>
      </c>
      <c r="D16" s="21">
        <v>41.75</v>
      </c>
      <c r="E16" s="21">
        <v>41.75</v>
      </c>
      <c r="F16" s="21">
        <v>41.75</v>
      </c>
      <c r="G16" s="22">
        <v>41.75</v>
      </c>
      <c r="H16" s="27">
        <v>0</v>
      </c>
      <c r="I16" s="28">
        <v>0</v>
      </c>
      <c r="J16" s="23">
        <v>1625</v>
      </c>
      <c r="K16" s="24">
        <v>64743.95</v>
      </c>
      <c r="O16" s="10"/>
    </row>
    <row r="17" spans="2:15" ht="18">
      <c r="B17" s="16" t="s">
        <v>3</v>
      </c>
      <c r="C17" s="17">
        <v>7</v>
      </c>
      <c r="D17" s="17">
        <v>7</v>
      </c>
      <c r="E17" s="17">
        <v>7</v>
      </c>
      <c r="F17" s="17">
        <v>7</v>
      </c>
      <c r="G17" s="18">
        <v>7</v>
      </c>
      <c r="H17" s="29">
        <v>0</v>
      </c>
      <c r="I17" s="30">
        <v>0</v>
      </c>
      <c r="J17" s="19">
        <v>756725</v>
      </c>
      <c r="K17" s="17">
        <v>5284543.9000000004</v>
      </c>
      <c r="O17" s="10"/>
    </row>
    <row r="18" spans="2:15" ht="18">
      <c r="B18" s="20" t="s">
        <v>71</v>
      </c>
      <c r="C18" s="21">
        <v>17</v>
      </c>
      <c r="D18" s="21">
        <v>17</v>
      </c>
      <c r="E18" s="21">
        <v>17.100000000000001</v>
      </c>
      <c r="F18" s="21">
        <v>17.100000000000001</v>
      </c>
      <c r="G18" s="22">
        <v>17.100000000000001</v>
      </c>
      <c r="H18" s="33">
        <v>0.10000000000000142</v>
      </c>
      <c r="I18" s="34">
        <v>5.8823529411764497E-3</v>
      </c>
      <c r="J18" s="23">
        <v>137045</v>
      </c>
      <c r="K18" s="24">
        <v>2348162.15</v>
      </c>
      <c r="O18" s="10"/>
    </row>
    <row r="19" spans="2:15" ht="18">
      <c r="B19" s="16" t="s">
        <v>153</v>
      </c>
      <c r="C19" s="17">
        <v>2.42</v>
      </c>
      <c r="D19" s="17">
        <v>2.42</v>
      </c>
      <c r="E19" s="18">
        <v>2.42</v>
      </c>
      <c r="F19" s="18">
        <v>2.42</v>
      </c>
      <c r="G19" s="18">
        <v>2.42</v>
      </c>
      <c r="H19" s="29">
        <v>0</v>
      </c>
      <c r="I19" s="30">
        <v>0</v>
      </c>
      <c r="J19" s="19">
        <v>35789</v>
      </c>
      <c r="K19" s="17">
        <v>78735.8</v>
      </c>
      <c r="O19" s="10"/>
    </row>
    <row r="20" spans="2:15" ht="18">
      <c r="B20" s="20" t="s">
        <v>59</v>
      </c>
      <c r="C20" s="21">
        <v>1.73</v>
      </c>
      <c r="D20" s="21">
        <v>1.73</v>
      </c>
      <c r="E20" s="21">
        <v>1.8</v>
      </c>
      <c r="F20" s="21">
        <v>1.73</v>
      </c>
      <c r="G20" s="22">
        <v>1.75</v>
      </c>
      <c r="H20" s="33">
        <v>2.0000000000000018E-2</v>
      </c>
      <c r="I20" s="34">
        <v>1.1560693641618602E-2</v>
      </c>
      <c r="J20" s="23">
        <v>3841001</v>
      </c>
      <c r="K20" s="24">
        <v>6733901.7000000002</v>
      </c>
      <c r="O20" s="10"/>
    </row>
    <row r="21" spans="2:15" ht="18">
      <c r="B21" s="16" t="s">
        <v>75</v>
      </c>
      <c r="C21" s="17">
        <v>0.89</v>
      </c>
      <c r="D21" s="17">
        <v>0.89</v>
      </c>
      <c r="E21" s="18">
        <v>0.89</v>
      </c>
      <c r="F21" s="18">
        <v>0.89</v>
      </c>
      <c r="G21" s="18">
        <v>0.89</v>
      </c>
      <c r="H21" s="29">
        <v>0</v>
      </c>
      <c r="I21" s="30">
        <v>0</v>
      </c>
      <c r="J21" s="19">
        <v>103200</v>
      </c>
      <c r="K21" s="17">
        <v>91816</v>
      </c>
    </row>
    <row r="22" spans="2:15" ht="18">
      <c r="B22" s="20" t="s">
        <v>52</v>
      </c>
      <c r="C22" s="21">
        <v>0.2</v>
      </c>
      <c r="D22" s="21">
        <v>0.2</v>
      </c>
      <c r="E22" s="21">
        <v>0.2</v>
      </c>
      <c r="F22" s="21">
        <v>0.2</v>
      </c>
      <c r="G22" s="22">
        <v>0.2</v>
      </c>
      <c r="H22" s="27">
        <v>0</v>
      </c>
      <c r="I22" s="28">
        <v>0</v>
      </c>
      <c r="J22" s="23">
        <v>43390</v>
      </c>
      <c r="K22" s="24">
        <v>8958.9</v>
      </c>
    </row>
    <row r="23" spans="2:15" ht="18">
      <c r="B23" s="16" t="s">
        <v>82</v>
      </c>
      <c r="C23" s="17">
        <v>4.2</v>
      </c>
      <c r="D23" s="17">
        <v>4.2</v>
      </c>
      <c r="E23" s="17">
        <v>4.2</v>
      </c>
      <c r="F23" s="17">
        <v>4.2</v>
      </c>
      <c r="G23" s="18">
        <v>4.2</v>
      </c>
      <c r="H23" s="29">
        <v>0</v>
      </c>
      <c r="I23" s="30">
        <v>0</v>
      </c>
      <c r="J23" s="19">
        <v>34191</v>
      </c>
      <c r="K23" s="17">
        <v>130302.2</v>
      </c>
    </row>
    <row r="24" spans="2:15" ht="18">
      <c r="B24" s="20" t="s">
        <v>55</v>
      </c>
      <c r="C24" s="21">
        <v>15.25</v>
      </c>
      <c r="D24" s="21">
        <v>15.25</v>
      </c>
      <c r="E24" s="21">
        <v>15.25</v>
      </c>
      <c r="F24" s="21">
        <v>15.25</v>
      </c>
      <c r="G24" s="22">
        <v>15.25</v>
      </c>
      <c r="H24" s="27">
        <v>0</v>
      </c>
      <c r="I24" s="28">
        <v>0</v>
      </c>
      <c r="J24" s="23">
        <v>65399</v>
      </c>
      <c r="K24" s="24">
        <v>1009120.95</v>
      </c>
    </row>
    <row r="25" spans="2:15" ht="18">
      <c r="B25" s="16" t="s">
        <v>74</v>
      </c>
      <c r="C25" s="17">
        <v>0.65</v>
      </c>
      <c r="D25" s="17">
        <v>0.65</v>
      </c>
      <c r="E25" s="18">
        <v>0.71</v>
      </c>
      <c r="F25" s="18">
        <v>0.65</v>
      </c>
      <c r="G25" s="18">
        <v>0.65</v>
      </c>
      <c r="H25" s="29">
        <v>0</v>
      </c>
      <c r="I25" s="30">
        <v>0</v>
      </c>
      <c r="J25" s="19">
        <v>788505</v>
      </c>
      <c r="K25" s="17">
        <v>549345.91</v>
      </c>
    </row>
    <row r="26" spans="2:15" ht="18">
      <c r="B26" s="20" t="s">
        <v>145</v>
      </c>
      <c r="C26" s="21">
        <v>0.2</v>
      </c>
      <c r="D26" s="21">
        <v>0.2</v>
      </c>
      <c r="E26" s="21">
        <v>0.2</v>
      </c>
      <c r="F26" s="21">
        <v>0.2</v>
      </c>
      <c r="G26" s="22">
        <v>0.2</v>
      </c>
      <c r="H26" s="27">
        <v>0</v>
      </c>
      <c r="I26" s="28">
        <v>0</v>
      </c>
      <c r="J26" s="23">
        <v>1749</v>
      </c>
      <c r="K26" s="24">
        <v>367.29</v>
      </c>
    </row>
    <row r="27" spans="2:15" ht="18">
      <c r="B27" s="16" t="s">
        <v>67</v>
      </c>
      <c r="C27" s="17">
        <v>5</v>
      </c>
      <c r="D27" s="17">
        <v>5</v>
      </c>
      <c r="E27" s="18">
        <v>5.2</v>
      </c>
      <c r="F27" s="18">
        <v>5.2</v>
      </c>
      <c r="G27" s="18">
        <v>5.2</v>
      </c>
      <c r="H27" s="31">
        <v>0.20000000000000018</v>
      </c>
      <c r="I27" s="32">
        <v>4.0000000000000036E-2</v>
      </c>
      <c r="J27" s="19">
        <v>301200</v>
      </c>
      <c r="K27" s="17">
        <v>1578165</v>
      </c>
    </row>
    <row r="28" spans="2:15" ht="18">
      <c r="B28" s="20" t="s">
        <v>68</v>
      </c>
      <c r="C28" s="21">
        <v>1.7</v>
      </c>
      <c r="D28" s="21">
        <v>1.7</v>
      </c>
      <c r="E28" s="21">
        <v>1.7</v>
      </c>
      <c r="F28" s="21">
        <v>1.7</v>
      </c>
      <c r="G28" s="22">
        <v>1.7</v>
      </c>
      <c r="H28" s="27">
        <v>0</v>
      </c>
      <c r="I28" s="28">
        <v>0</v>
      </c>
      <c r="J28" s="23">
        <v>5472</v>
      </c>
      <c r="K28" s="24">
        <v>9821</v>
      </c>
    </row>
    <row r="29" spans="2:15" ht="18">
      <c r="B29" s="16" t="s">
        <v>146</v>
      </c>
      <c r="C29" s="17">
        <v>0.3</v>
      </c>
      <c r="D29" s="17">
        <v>0.3</v>
      </c>
      <c r="E29" s="18">
        <v>0.3</v>
      </c>
      <c r="F29" s="18">
        <v>0.3</v>
      </c>
      <c r="G29" s="18">
        <v>0.3</v>
      </c>
      <c r="H29" s="29">
        <v>0</v>
      </c>
      <c r="I29" s="30">
        <v>0</v>
      </c>
      <c r="J29" s="19">
        <v>3310</v>
      </c>
      <c r="K29" s="17">
        <v>893.7</v>
      </c>
    </row>
    <row r="30" spans="2:15" ht="18">
      <c r="B30" s="20" t="s">
        <v>4</v>
      </c>
      <c r="C30" s="21">
        <v>139</v>
      </c>
      <c r="D30" s="21">
        <v>139</v>
      </c>
      <c r="E30" s="21">
        <v>142.9</v>
      </c>
      <c r="F30" s="21">
        <v>140</v>
      </c>
      <c r="G30" s="22">
        <v>142.9</v>
      </c>
      <c r="H30" s="33">
        <v>3.9000000000000057</v>
      </c>
      <c r="I30" s="34">
        <v>2.8057553956834624E-2</v>
      </c>
      <c r="J30" s="23">
        <v>8422191</v>
      </c>
      <c r="K30" s="24">
        <v>1200603487.4000001</v>
      </c>
    </row>
    <row r="31" spans="2:15" ht="18">
      <c r="B31" s="16" t="s">
        <v>5</v>
      </c>
      <c r="C31" s="17">
        <v>12.5</v>
      </c>
      <c r="D31" s="17">
        <v>12.5</v>
      </c>
      <c r="E31" s="17">
        <v>12.55</v>
      </c>
      <c r="F31" s="17">
        <v>12.4</v>
      </c>
      <c r="G31" s="18">
        <v>12.4</v>
      </c>
      <c r="H31" s="25">
        <v>-9.9999999999999645E-2</v>
      </c>
      <c r="I31" s="26">
        <v>-8.0000000000000071E-3</v>
      </c>
      <c r="J31" s="19">
        <v>2216795</v>
      </c>
      <c r="K31" s="17">
        <v>27716964.5</v>
      </c>
    </row>
    <row r="32" spans="2:15" ht="18">
      <c r="B32" s="20" t="s">
        <v>154</v>
      </c>
      <c r="C32" s="21">
        <v>0.3</v>
      </c>
      <c r="D32" s="21">
        <v>0.3</v>
      </c>
      <c r="E32" s="21">
        <v>0.3</v>
      </c>
      <c r="F32" s="21">
        <v>0.3</v>
      </c>
      <c r="G32" s="22">
        <v>0.3</v>
      </c>
      <c r="H32" s="27">
        <v>0</v>
      </c>
      <c r="I32" s="28">
        <v>0</v>
      </c>
      <c r="J32" s="23">
        <v>10000</v>
      </c>
      <c r="K32" s="24">
        <v>2700</v>
      </c>
    </row>
    <row r="33" spans="2:11" ht="18">
      <c r="B33" s="16" t="s">
        <v>155</v>
      </c>
      <c r="C33" s="17">
        <v>4.25</v>
      </c>
      <c r="D33" s="17">
        <v>4.25</v>
      </c>
      <c r="E33" s="17">
        <v>4.25</v>
      </c>
      <c r="F33" s="17">
        <v>4.25</v>
      </c>
      <c r="G33" s="18">
        <v>4.25</v>
      </c>
      <c r="H33" s="29">
        <v>0</v>
      </c>
      <c r="I33" s="30">
        <v>0</v>
      </c>
      <c r="J33" s="19">
        <v>500</v>
      </c>
      <c r="K33" s="17">
        <v>1915</v>
      </c>
    </row>
    <row r="34" spans="2:11" ht="18">
      <c r="B34" s="20" t="s">
        <v>39</v>
      </c>
      <c r="C34" s="21">
        <v>2.5</v>
      </c>
      <c r="D34" s="21">
        <v>2.5</v>
      </c>
      <c r="E34" s="21">
        <v>2.74</v>
      </c>
      <c r="F34" s="21">
        <v>2.6</v>
      </c>
      <c r="G34" s="22">
        <v>2.74</v>
      </c>
      <c r="H34" s="33">
        <v>0.24000000000000021</v>
      </c>
      <c r="I34" s="34">
        <v>9.6000000000000085E-2</v>
      </c>
      <c r="J34" s="23">
        <v>538302</v>
      </c>
      <c r="K34" s="24">
        <v>1419186.78</v>
      </c>
    </row>
    <row r="35" spans="2:11" ht="18">
      <c r="B35" s="16" t="s">
        <v>6</v>
      </c>
      <c r="C35" s="17">
        <v>4.2</v>
      </c>
      <c r="D35" s="17">
        <v>4.2</v>
      </c>
      <c r="E35" s="18">
        <v>4.2</v>
      </c>
      <c r="F35" s="18">
        <v>4.05</v>
      </c>
      <c r="G35" s="18">
        <v>4.2</v>
      </c>
      <c r="H35" s="29">
        <v>0</v>
      </c>
      <c r="I35" s="30">
        <v>0</v>
      </c>
      <c r="J35" s="19">
        <v>1116747</v>
      </c>
      <c r="K35" s="17">
        <v>4591633.25</v>
      </c>
    </row>
    <row r="36" spans="2:11" ht="18">
      <c r="B36" s="20" t="s">
        <v>7</v>
      </c>
      <c r="C36" s="21">
        <v>5.2</v>
      </c>
      <c r="D36" s="21">
        <v>5.2</v>
      </c>
      <c r="E36" s="21">
        <v>5.35</v>
      </c>
      <c r="F36" s="21">
        <v>5.2</v>
      </c>
      <c r="G36" s="22">
        <v>5.2</v>
      </c>
      <c r="H36" s="27">
        <v>0</v>
      </c>
      <c r="I36" s="28">
        <v>0</v>
      </c>
      <c r="J36" s="23">
        <v>12727301</v>
      </c>
      <c r="K36" s="24">
        <v>66894645.200000003</v>
      </c>
    </row>
    <row r="37" spans="2:11" ht="18">
      <c r="B37" s="16" t="s">
        <v>8</v>
      </c>
      <c r="C37" s="17">
        <v>2.1</v>
      </c>
      <c r="D37" s="17">
        <v>2.1</v>
      </c>
      <c r="E37" s="17">
        <v>2.19</v>
      </c>
      <c r="F37" s="17">
        <v>2.15</v>
      </c>
      <c r="G37" s="18">
        <v>2.19</v>
      </c>
      <c r="H37" s="31">
        <v>8.9999999999999858E-2</v>
      </c>
      <c r="I37" s="32">
        <v>4.2857142857142705E-2</v>
      </c>
      <c r="J37" s="19">
        <v>2519589</v>
      </c>
      <c r="K37" s="17">
        <v>5454966.9800000004</v>
      </c>
    </row>
    <row r="38" spans="2:11" ht="18">
      <c r="B38" s="20" t="s">
        <v>9</v>
      </c>
      <c r="C38" s="21">
        <v>1.89</v>
      </c>
      <c r="D38" s="21">
        <v>1.89</v>
      </c>
      <c r="E38" s="21">
        <v>1.92</v>
      </c>
      <c r="F38" s="21">
        <v>1.85</v>
      </c>
      <c r="G38" s="22">
        <v>1.85</v>
      </c>
      <c r="H38" s="35">
        <v>-3.9999999999999813E-2</v>
      </c>
      <c r="I38" s="36">
        <v>-2.1164021164021052E-2</v>
      </c>
      <c r="J38" s="23">
        <v>17195185</v>
      </c>
      <c r="K38" s="24">
        <v>32183749.66</v>
      </c>
    </row>
    <row r="39" spans="2:11" ht="18">
      <c r="B39" s="16" t="s">
        <v>64</v>
      </c>
      <c r="C39" s="17">
        <v>3.53</v>
      </c>
      <c r="D39" s="17">
        <v>3.53</v>
      </c>
      <c r="E39" s="18">
        <v>3.53</v>
      </c>
      <c r="F39" s="18">
        <v>3.53</v>
      </c>
      <c r="G39" s="18">
        <v>3.53</v>
      </c>
      <c r="H39" s="29">
        <v>0</v>
      </c>
      <c r="I39" s="30">
        <v>0</v>
      </c>
      <c r="J39" s="19">
        <v>104614</v>
      </c>
      <c r="K39" s="17">
        <v>395362.17</v>
      </c>
    </row>
    <row r="40" spans="2:11" ht="18">
      <c r="B40" s="20" t="s">
        <v>10</v>
      </c>
      <c r="C40" s="21">
        <v>21.65</v>
      </c>
      <c r="D40" s="21">
        <v>21.65</v>
      </c>
      <c r="E40" s="21">
        <v>21.65</v>
      </c>
      <c r="F40" s="21">
        <v>21.65</v>
      </c>
      <c r="G40" s="22">
        <v>21.65</v>
      </c>
      <c r="H40" s="27">
        <v>0</v>
      </c>
      <c r="I40" s="28">
        <v>0</v>
      </c>
      <c r="J40" s="23">
        <v>201345</v>
      </c>
      <c r="K40" s="24">
        <v>4282074.05</v>
      </c>
    </row>
    <row r="41" spans="2:11" ht="18">
      <c r="B41" s="16" t="s">
        <v>48</v>
      </c>
      <c r="C41" s="17">
        <v>5</v>
      </c>
      <c r="D41" s="17">
        <v>5</v>
      </c>
      <c r="E41" s="18">
        <v>5</v>
      </c>
      <c r="F41" s="18">
        <v>5</v>
      </c>
      <c r="G41" s="18">
        <v>5</v>
      </c>
      <c r="H41" s="29">
        <v>0</v>
      </c>
      <c r="I41" s="30">
        <v>0</v>
      </c>
      <c r="J41" s="19">
        <v>585579</v>
      </c>
      <c r="K41" s="17">
        <v>2932625.75</v>
      </c>
    </row>
    <row r="42" spans="2:11" ht="18">
      <c r="B42" s="20" t="s">
        <v>156</v>
      </c>
      <c r="C42" s="21">
        <v>4.6500000000000004</v>
      </c>
      <c r="D42" s="21">
        <v>4.6500000000000004</v>
      </c>
      <c r="E42" s="21">
        <v>4.6500000000000004</v>
      </c>
      <c r="F42" s="21">
        <v>4.6500000000000004</v>
      </c>
      <c r="G42" s="22">
        <v>4.6500000000000004</v>
      </c>
      <c r="H42" s="27">
        <v>0</v>
      </c>
      <c r="I42" s="28">
        <v>0</v>
      </c>
      <c r="J42" s="23">
        <v>9</v>
      </c>
      <c r="K42" s="24">
        <v>37.71</v>
      </c>
    </row>
    <row r="43" spans="2:11" ht="18">
      <c r="B43" s="16" t="s">
        <v>11</v>
      </c>
      <c r="C43" s="17">
        <v>27.05</v>
      </c>
      <c r="D43" s="17">
        <v>27.05</v>
      </c>
      <c r="E43" s="18">
        <v>28.5</v>
      </c>
      <c r="F43" s="18">
        <v>27.3</v>
      </c>
      <c r="G43" s="18">
        <v>28.05</v>
      </c>
      <c r="H43" s="31">
        <v>1</v>
      </c>
      <c r="I43" s="32">
        <v>3.6968576709796697E-2</v>
      </c>
      <c r="J43" s="19">
        <v>10796847</v>
      </c>
      <c r="K43" s="17">
        <v>302455431.75</v>
      </c>
    </row>
    <row r="44" spans="2:11" ht="18">
      <c r="B44" s="20" t="s">
        <v>12</v>
      </c>
      <c r="C44" s="21">
        <v>14</v>
      </c>
      <c r="D44" s="21">
        <v>14</v>
      </c>
      <c r="E44" s="21">
        <v>14.4</v>
      </c>
      <c r="F44" s="21">
        <v>14</v>
      </c>
      <c r="G44" s="22">
        <v>14</v>
      </c>
      <c r="H44" s="27">
        <v>0</v>
      </c>
      <c r="I44" s="28">
        <v>0</v>
      </c>
      <c r="J44" s="23">
        <v>1980574</v>
      </c>
      <c r="K44" s="24">
        <v>27923305.350000001</v>
      </c>
    </row>
    <row r="45" spans="2:11" ht="18">
      <c r="B45" s="16" t="s">
        <v>43</v>
      </c>
      <c r="C45" s="17">
        <v>0.92</v>
      </c>
      <c r="D45" s="17">
        <v>0.94</v>
      </c>
      <c r="E45" s="17">
        <v>0.94</v>
      </c>
      <c r="F45" s="17">
        <v>0.92</v>
      </c>
      <c r="G45" s="18">
        <v>0.92</v>
      </c>
      <c r="H45" s="29">
        <v>0</v>
      </c>
      <c r="I45" s="30">
        <v>0</v>
      </c>
      <c r="J45" s="19">
        <v>2089375</v>
      </c>
      <c r="K45" s="17">
        <v>1944885.19</v>
      </c>
    </row>
    <row r="46" spans="2:11" ht="18">
      <c r="B46" s="20" t="s">
        <v>143</v>
      </c>
      <c r="C46" s="21">
        <v>0.92</v>
      </c>
      <c r="D46" s="21">
        <v>0.92</v>
      </c>
      <c r="E46" s="21">
        <v>0.92</v>
      </c>
      <c r="F46" s="21">
        <v>0.92</v>
      </c>
      <c r="G46" s="22">
        <v>0.92</v>
      </c>
      <c r="H46" s="27">
        <v>0</v>
      </c>
      <c r="I46" s="28">
        <v>0</v>
      </c>
      <c r="J46" s="23">
        <v>3470</v>
      </c>
      <c r="K46" s="24">
        <v>3306.3</v>
      </c>
    </row>
    <row r="47" spans="2:11" ht="18">
      <c r="B47" s="16" t="s">
        <v>51</v>
      </c>
      <c r="C47" s="17">
        <v>3.85</v>
      </c>
      <c r="D47" s="17">
        <v>3.85</v>
      </c>
      <c r="E47" s="17">
        <v>3.9</v>
      </c>
      <c r="F47" s="17">
        <v>3.85</v>
      </c>
      <c r="G47" s="18">
        <v>3.9</v>
      </c>
      <c r="H47" s="31">
        <v>4.9999999999999822E-2</v>
      </c>
      <c r="I47" s="32">
        <v>1.298701298701288E-2</v>
      </c>
      <c r="J47" s="19">
        <v>2210938</v>
      </c>
      <c r="K47" s="17">
        <v>8572475.6999999993</v>
      </c>
    </row>
    <row r="48" spans="2:11" ht="18">
      <c r="B48" s="16" t="s">
        <v>50</v>
      </c>
      <c r="C48" s="17">
        <v>0.57999999999999996</v>
      </c>
      <c r="D48" s="17">
        <v>0.57999999999999996</v>
      </c>
      <c r="E48" s="18">
        <v>0.61</v>
      </c>
      <c r="F48" s="18">
        <v>0.59</v>
      </c>
      <c r="G48" s="18">
        <v>0.61</v>
      </c>
      <c r="H48" s="31">
        <v>3.0000000000000027E-2</v>
      </c>
      <c r="I48" s="32">
        <v>5.1724137931034475E-2</v>
      </c>
      <c r="J48" s="19">
        <v>765196</v>
      </c>
      <c r="K48" s="17">
        <v>457355.63</v>
      </c>
    </row>
    <row r="49" spans="2:11" ht="18">
      <c r="B49" s="20" t="s">
        <v>60</v>
      </c>
      <c r="C49" s="21">
        <v>0.2</v>
      </c>
      <c r="D49" s="21">
        <v>0.2</v>
      </c>
      <c r="E49" s="21">
        <v>0.2</v>
      </c>
      <c r="F49" s="21">
        <v>0.2</v>
      </c>
      <c r="G49" s="22">
        <v>0.2</v>
      </c>
      <c r="H49" s="27">
        <v>0</v>
      </c>
      <c r="I49" s="28">
        <v>0</v>
      </c>
      <c r="J49" s="23">
        <v>732937</v>
      </c>
      <c r="K49" s="24">
        <v>146587.4</v>
      </c>
    </row>
    <row r="50" spans="2:11" ht="18">
      <c r="B50" s="16" t="s">
        <v>44</v>
      </c>
      <c r="C50" s="17">
        <v>16</v>
      </c>
      <c r="D50" s="17">
        <v>16</v>
      </c>
      <c r="E50" s="17">
        <v>16.05</v>
      </c>
      <c r="F50" s="17">
        <v>16.05</v>
      </c>
      <c r="G50" s="18">
        <v>16.05</v>
      </c>
      <c r="H50" s="31">
        <v>5.0000000000000711E-2</v>
      </c>
      <c r="I50" s="32">
        <v>3.1250000000000444E-3</v>
      </c>
      <c r="J50" s="19">
        <v>595122</v>
      </c>
      <c r="K50" s="17">
        <v>9612183.75</v>
      </c>
    </row>
    <row r="51" spans="2:11" ht="18">
      <c r="B51" s="20" t="s">
        <v>150</v>
      </c>
      <c r="C51" s="21">
        <v>0.56000000000000005</v>
      </c>
      <c r="D51" s="21">
        <v>0.56000000000000005</v>
      </c>
      <c r="E51" s="21">
        <v>0.56000000000000005</v>
      </c>
      <c r="F51" s="21">
        <v>0.56000000000000005</v>
      </c>
      <c r="G51" s="22">
        <v>0.56000000000000005</v>
      </c>
      <c r="H51" s="27">
        <v>0</v>
      </c>
      <c r="I51" s="28">
        <v>0</v>
      </c>
      <c r="J51" s="23">
        <v>4968</v>
      </c>
      <c r="K51" s="24">
        <v>2533.6799999999998</v>
      </c>
    </row>
    <row r="52" spans="2:11" ht="18">
      <c r="B52" s="16" t="s">
        <v>57</v>
      </c>
      <c r="C52" s="17">
        <v>0.27</v>
      </c>
      <c r="D52" s="17">
        <v>0.27</v>
      </c>
      <c r="E52" s="18">
        <v>0.28000000000000003</v>
      </c>
      <c r="F52" s="18">
        <v>0.27</v>
      </c>
      <c r="G52" s="18">
        <v>0.28000000000000003</v>
      </c>
      <c r="H52" s="31">
        <v>1.0000000000000009E-2</v>
      </c>
      <c r="I52" s="32">
        <v>3.7037037037036979E-2</v>
      </c>
      <c r="J52" s="19">
        <v>573000</v>
      </c>
      <c r="K52" s="17">
        <v>157440</v>
      </c>
    </row>
    <row r="53" spans="2:11" ht="18">
      <c r="B53" s="20" t="s">
        <v>76</v>
      </c>
      <c r="C53" s="21">
        <v>1.07</v>
      </c>
      <c r="D53" s="21">
        <v>1.07</v>
      </c>
      <c r="E53" s="21">
        <v>1.07</v>
      </c>
      <c r="F53" s="21">
        <v>1.07</v>
      </c>
      <c r="G53" s="22">
        <v>1.07</v>
      </c>
      <c r="H53" s="27">
        <v>0</v>
      </c>
      <c r="I53" s="28">
        <v>0</v>
      </c>
      <c r="J53" s="23">
        <v>140089</v>
      </c>
      <c r="K53" s="24">
        <v>144653.71</v>
      </c>
    </row>
    <row r="54" spans="2:11" ht="18">
      <c r="B54" s="16" t="s">
        <v>77</v>
      </c>
      <c r="C54" s="17">
        <v>0.38</v>
      </c>
      <c r="D54" s="17">
        <v>0.38</v>
      </c>
      <c r="E54" s="18">
        <v>0.38</v>
      </c>
      <c r="F54" s="18">
        <v>0.38</v>
      </c>
      <c r="G54" s="18">
        <v>0.38</v>
      </c>
      <c r="H54" s="29">
        <v>0</v>
      </c>
      <c r="I54" s="30">
        <v>0</v>
      </c>
      <c r="J54" s="19">
        <v>4000</v>
      </c>
      <c r="K54" s="17">
        <v>1520</v>
      </c>
    </row>
    <row r="55" spans="2:11" ht="18">
      <c r="B55" s="20" t="s">
        <v>56</v>
      </c>
      <c r="C55" s="21">
        <v>0.6</v>
      </c>
      <c r="D55" s="21">
        <v>0.6</v>
      </c>
      <c r="E55" s="21">
        <v>0.6</v>
      </c>
      <c r="F55" s="21">
        <v>0.6</v>
      </c>
      <c r="G55" s="22">
        <v>0.6</v>
      </c>
      <c r="H55" s="27">
        <v>0</v>
      </c>
      <c r="I55" s="28">
        <v>0</v>
      </c>
      <c r="J55" s="23">
        <v>65640</v>
      </c>
      <c r="K55" s="24">
        <v>39785.199999999997</v>
      </c>
    </row>
    <row r="56" spans="2:11" ht="18">
      <c r="B56" s="16" t="s">
        <v>63</v>
      </c>
      <c r="C56" s="17">
        <v>1.9</v>
      </c>
      <c r="D56" s="17">
        <v>1.9</v>
      </c>
      <c r="E56" s="18">
        <v>1.9</v>
      </c>
      <c r="F56" s="18">
        <v>1.9</v>
      </c>
      <c r="G56" s="18">
        <v>1.9</v>
      </c>
      <c r="H56" s="29">
        <v>0</v>
      </c>
      <c r="I56" s="30">
        <v>0</v>
      </c>
      <c r="J56" s="19">
        <v>218028</v>
      </c>
      <c r="K56" s="17">
        <v>393303.48</v>
      </c>
    </row>
    <row r="57" spans="2:11" ht="18">
      <c r="B57" s="20" t="s">
        <v>42</v>
      </c>
      <c r="C57" s="21">
        <v>2.9</v>
      </c>
      <c r="D57" s="21">
        <v>2.9</v>
      </c>
      <c r="E57" s="21">
        <v>2.9</v>
      </c>
      <c r="F57" s="21">
        <v>2.9</v>
      </c>
      <c r="G57" s="22">
        <v>2.9</v>
      </c>
      <c r="H57" s="27">
        <v>0</v>
      </c>
      <c r="I57" s="28">
        <v>0</v>
      </c>
      <c r="J57" s="23">
        <v>103407</v>
      </c>
      <c r="K57" s="24">
        <v>308638.32</v>
      </c>
    </row>
    <row r="58" spans="2:11" ht="18">
      <c r="B58" s="16" t="s">
        <v>70</v>
      </c>
      <c r="C58" s="17">
        <v>0.21</v>
      </c>
      <c r="D58" s="17">
        <v>0.21</v>
      </c>
      <c r="E58" s="17">
        <v>0.22</v>
      </c>
      <c r="F58" s="17">
        <v>0.21</v>
      </c>
      <c r="G58" s="18">
        <v>0.21</v>
      </c>
      <c r="H58" s="29">
        <v>0</v>
      </c>
      <c r="I58" s="30">
        <v>0</v>
      </c>
      <c r="J58" s="19">
        <v>9637002</v>
      </c>
      <c r="K58" s="17">
        <v>2027774.42</v>
      </c>
    </row>
    <row r="59" spans="2:11" ht="18">
      <c r="B59" s="20" t="s">
        <v>157</v>
      </c>
      <c r="C59" s="21">
        <v>0.5</v>
      </c>
      <c r="D59" s="21">
        <v>0.5</v>
      </c>
      <c r="E59" s="21">
        <v>0.5</v>
      </c>
      <c r="F59" s="21">
        <v>0.5</v>
      </c>
      <c r="G59" s="22">
        <v>0.5</v>
      </c>
      <c r="H59" s="27">
        <v>0</v>
      </c>
      <c r="I59" s="28">
        <v>0</v>
      </c>
      <c r="J59" s="23">
        <v>1818</v>
      </c>
      <c r="K59" s="24">
        <v>909</v>
      </c>
    </row>
    <row r="60" spans="2:11" ht="18">
      <c r="B60" s="16" t="s">
        <v>29</v>
      </c>
      <c r="C60" s="17">
        <v>186.9</v>
      </c>
      <c r="D60" s="17">
        <v>186.9</v>
      </c>
      <c r="E60" s="18">
        <v>186.9</v>
      </c>
      <c r="F60" s="18">
        <v>186.9</v>
      </c>
      <c r="G60" s="18">
        <v>186.9</v>
      </c>
      <c r="H60" s="29">
        <v>0</v>
      </c>
      <c r="I60" s="30">
        <v>0</v>
      </c>
      <c r="J60" s="19">
        <v>51668</v>
      </c>
      <c r="K60" s="17">
        <v>9402995.4000000004</v>
      </c>
    </row>
    <row r="61" spans="2:11" ht="18">
      <c r="B61" s="20" t="s">
        <v>158</v>
      </c>
      <c r="C61" s="21">
        <v>0.6</v>
      </c>
      <c r="D61" s="21">
        <v>0.6</v>
      </c>
      <c r="E61" s="21">
        <v>0.6</v>
      </c>
      <c r="F61" s="21">
        <v>0.6</v>
      </c>
      <c r="G61" s="22">
        <v>0.6</v>
      </c>
      <c r="H61" s="27">
        <v>0</v>
      </c>
      <c r="I61" s="28">
        <v>0</v>
      </c>
      <c r="J61" s="23">
        <v>827</v>
      </c>
      <c r="K61" s="24">
        <v>529.28</v>
      </c>
    </row>
    <row r="62" spans="2:11" ht="18">
      <c r="B62" s="16" t="s">
        <v>113</v>
      </c>
      <c r="C62" s="17">
        <v>12.45</v>
      </c>
      <c r="D62" s="17">
        <v>12.45</v>
      </c>
      <c r="E62" s="18">
        <v>12.45</v>
      </c>
      <c r="F62" s="18">
        <v>12.45</v>
      </c>
      <c r="G62" s="18">
        <v>12.45</v>
      </c>
      <c r="H62" s="29">
        <v>0</v>
      </c>
      <c r="I62" s="30">
        <v>0</v>
      </c>
      <c r="J62" s="19">
        <v>3644</v>
      </c>
      <c r="K62" s="17">
        <v>43838.5</v>
      </c>
    </row>
    <row r="63" spans="2:11" ht="18">
      <c r="B63" s="20" t="s">
        <v>54</v>
      </c>
      <c r="C63" s="21">
        <v>127.5</v>
      </c>
      <c r="D63" s="21">
        <v>127.5</v>
      </c>
      <c r="E63" s="21">
        <v>129</v>
      </c>
      <c r="F63" s="21">
        <v>127</v>
      </c>
      <c r="G63" s="22">
        <v>129</v>
      </c>
      <c r="H63" s="33">
        <v>1.5</v>
      </c>
      <c r="I63" s="34">
        <v>1.1764705882352899E-2</v>
      </c>
      <c r="J63" s="23">
        <v>4185248</v>
      </c>
      <c r="K63" s="24">
        <v>532502755.89999998</v>
      </c>
    </row>
    <row r="64" spans="2:11" ht="18">
      <c r="B64" s="16" t="s">
        <v>40</v>
      </c>
      <c r="C64" s="17">
        <v>2</v>
      </c>
      <c r="D64" s="17">
        <v>2</v>
      </c>
      <c r="E64" s="18">
        <v>2.0499999999999998</v>
      </c>
      <c r="F64" s="18">
        <v>2</v>
      </c>
      <c r="G64" s="18">
        <v>2</v>
      </c>
      <c r="H64" s="29">
        <v>0</v>
      </c>
      <c r="I64" s="30">
        <v>0</v>
      </c>
      <c r="J64" s="19">
        <v>5335509</v>
      </c>
      <c r="K64" s="17">
        <v>10726638</v>
      </c>
    </row>
    <row r="65" spans="2:11" ht="18">
      <c r="B65" s="20" t="s">
        <v>13</v>
      </c>
      <c r="C65" s="21">
        <v>10.4</v>
      </c>
      <c r="D65" s="21">
        <v>10.4</v>
      </c>
      <c r="E65" s="21">
        <v>10.4</v>
      </c>
      <c r="F65" s="21">
        <v>10.4</v>
      </c>
      <c r="G65" s="22">
        <v>10.4</v>
      </c>
      <c r="H65" s="27">
        <v>0</v>
      </c>
      <c r="I65" s="28">
        <v>0</v>
      </c>
      <c r="J65" s="23">
        <v>52320</v>
      </c>
      <c r="K65" s="24">
        <v>549450.80000000005</v>
      </c>
    </row>
    <row r="66" spans="2:11" ht="18">
      <c r="B66" s="16" t="s">
        <v>14</v>
      </c>
      <c r="C66" s="17">
        <v>52.55</v>
      </c>
      <c r="D66" s="17">
        <v>52.55</v>
      </c>
      <c r="E66" s="17">
        <v>49</v>
      </c>
      <c r="F66" s="17">
        <v>49</v>
      </c>
      <c r="G66" s="18">
        <v>49</v>
      </c>
      <c r="H66" s="25">
        <v>-3.5499999999999972</v>
      </c>
      <c r="I66" s="26">
        <v>-6.7554709800190293E-2</v>
      </c>
      <c r="J66" s="19">
        <v>3934776</v>
      </c>
      <c r="K66" s="17">
        <v>192765686.05000001</v>
      </c>
    </row>
    <row r="67" spans="2:11" ht="18">
      <c r="B67" s="20" t="s">
        <v>66</v>
      </c>
      <c r="C67" s="21">
        <v>1.85</v>
      </c>
      <c r="D67" s="21">
        <v>1.85</v>
      </c>
      <c r="E67" s="21">
        <v>1.85</v>
      </c>
      <c r="F67" s="21">
        <v>1.85</v>
      </c>
      <c r="G67" s="22">
        <v>1.85</v>
      </c>
      <c r="H67" s="27">
        <v>0</v>
      </c>
      <c r="I67" s="28">
        <v>0</v>
      </c>
      <c r="J67" s="23">
        <v>192580</v>
      </c>
      <c r="K67" s="24">
        <v>348287.5</v>
      </c>
    </row>
    <row r="68" spans="2:11" ht="18">
      <c r="B68" s="16" t="s">
        <v>80</v>
      </c>
      <c r="C68" s="17">
        <v>2.0299999999999998</v>
      </c>
      <c r="D68" s="17">
        <v>2.0299999999999998</v>
      </c>
      <c r="E68" s="17">
        <v>2.0299999999999998</v>
      </c>
      <c r="F68" s="17">
        <v>2.0299999999999998</v>
      </c>
      <c r="G68" s="18">
        <v>2.0299999999999998</v>
      </c>
      <c r="H68" s="29">
        <v>0</v>
      </c>
      <c r="I68" s="30">
        <v>0</v>
      </c>
      <c r="J68" s="19">
        <v>220581</v>
      </c>
      <c r="K68" s="17">
        <v>457781.39</v>
      </c>
    </row>
    <row r="69" spans="2:11" ht="18">
      <c r="B69" s="20" t="s">
        <v>15</v>
      </c>
      <c r="C69" s="21">
        <v>1175</v>
      </c>
      <c r="D69" s="21">
        <v>1175</v>
      </c>
      <c r="E69" s="21">
        <v>1175</v>
      </c>
      <c r="F69" s="21">
        <v>1175</v>
      </c>
      <c r="G69" s="22">
        <v>1175</v>
      </c>
      <c r="H69" s="27">
        <v>0</v>
      </c>
      <c r="I69" s="28">
        <v>0</v>
      </c>
      <c r="J69" s="23">
        <v>26296</v>
      </c>
      <c r="K69" s="24">
        <v>33882478.399999999</v>
      </c>
    </row>
    <row r="70" spans="2:11" ht="18">
      <c r="B70" s="16" t="s">
        <v>141</v>
      </c>
      <c r="C70" s="17">
        <v>4.05</v>
      </c>
      <c r="D70" s="17">
        <v>4.05</v>
      </c>
      <c r="E70" s="18">
        <v>4.05</v>
      </c>
      <c r="F70" s="18">
        <v>4.05</v>
      </c>
      <c r="G70" s="18">
        <v>4.05</v>
      </c>
      <c r="H70" s="29">
        <v>0</v>
      </c>
      <c r="I70" s="30">
        <v>0</v>
      </c>
      <c r="J70" s="19">
        <v>115000</v>
      </c>
      <c r="K70" s="17">
        <v>507500</v>
      </c>
    </row>
    <row r="71" spans="2:11" ht="18">
      <c r="B71" s="20" t="s">
        <v>81</v>
      </c>
      <c r="C71" s="21">
        <v>1.25</v>
      </c>
      <c r="D71" s="21">
        <v>1.25</v>
      </c>
      <c r="E71" s="21">
        <v>1.25</v>
      </c>
      <c r="F71" s="21">
        <v>1.25</v>
      </c>
      <c r="G71" s="22">
        <v>1.25</v>
      </c>
      <c r="H71" s="27">
        <v>0</v>
      </c>
      <c r="I71" s="28">
        <v>0</v>
      </c>
      <c r="J71" s="23">
        <v>613000</v>
      </c>
      <c r="K71" s="24">
        <v>832970</v>
      </c>
    </row>
    <row r="72" spans="2:11" ht="18">
      <c r="B72" s="16" t="s">
        <v>46</v>
      </c>
      <c r="C72" s="17">
        <v>2.2400000000000002</v>
      </c>
      <c r="D72" s="17">
        <v>2.2400000000000002</v>
      </c>
      <c r="E72" s="17">
        <v>2.2599999999999998</v>
      </c>
      <c r="F72" s="17">
        <v>2.21</v>
      </c>
      <c r="G72" s="18">
        <v>2.25</v>
      </c>
      <c r="H72" s="31">
        <v>9.9999999999997868E-3</v>
      </c>
      <c r="I72" s="32">
        <v>4.4642857142855874E-3</v>
      </c>
      <c r="J72" s="19">
        <v>1588062</v>
      </c>
      <c r="K72" s="17">
        <v>3566448.58</v>
      </c>
    </row>
    <row r="73" spans="2:11" ht="18">
      <c r="B73" s="20" t="s">
        <v>16</v>
      </c>
      <c r="C73" s="21">
        <v>80</v>
      </c>
      <c r="D73" s="21">
        <v>80</v>
      </c>
      <c r="E73" s="21">
        <v>80</v>
      </c>
      <c r="F73" s="21">
        <v>80</v>
      </c>
      <c r="G73" s="22">
        <v>80</v>
      </c>
      <c r="H73" s="27">
        <v>0</v>
      </c>
      <c r="I73" s="28">
        <v>0</v>
      </c>
      <c r="J73" s="23">
        <v>33046</v>
      </c>
      <c r="K73" s="24">
        <v>2680953.15</v>
      </c>
    </row>
    <row r="74" spans="2:11" ht="18">
      <c r="B74" s="16" t="s">
        <v>65</v>
      </c>
      <c r="C74" s="17">
        <v>53</v>
      </c>
      <c r="D74" s="17">
        <v>53</v>
      </c>
      <c r="E74" s="18">
        <v>53</v>
      </c>
      <c r="F74" s="18">
        <v>53</v>
      </c>
      <c r="G74" s="18">
        <v>53</v>
      </c>
      <c r="H74" s="29">
        <v>0</v>
      </c>
      <c r="I74" s="30">
        <v>0</v>
      </c>
      <c r="J74" s="19">
        <v>19532</v>
      </c>
      <c r="K74" s="17">
        <v>1035171</v>
      </c>
    </row>
    <row r="75" spans="2:11" ht="18">
      <c r="B75" s="20" t="s">
        <v>17</v>
      </c>
      <c r="C75" s="21">
        <v>4.25</v>
      </c>
      <c r="D75" s="21">
        <v>4.25</v>
      </c>
      <c r="E75" s="21">
        <v>4</v>
      </c>
      <c r="F75" s="21">
        <v>4</v>
      </c>
      <c r="G75" s="22">
        <v>4</v>
      </c>
      <c r="H75" s="35">
        <v>-0.25</v>
      </c>
      <c r="I75" s="36">
        <v>-5.8823529411764719E-2</v>
      </c>
      <c r="J75" s="23">
        <v>735105</v>
      </c>
      <c r="K75" s="24">
        <v>3037080.05</v>
      </c>
    </row>
    <row r="76" spans="2:11" ht="18">
      <c r="B76" s="16" t="s">
        <v>69</v>
      </c>
      <c r="C76" s="17">
        <v>3</v>
      </c>
      <c r="D76" s="17">
        <v>3</v>
      </c>
      <c r="E76" s="18">
        <v>3</v>
      </c>
      <c r="F76" s="18">
        <v>3</v>
      </c>
      <c r="G76" s="18">
        <v>3</v>
      </c>
      <c r="H76" s="29">
        <v>0</v>
      </c>
      <c r="I76" s="30">
        <v>0</v>
      </c>
      <c r="J76" s="19">
        <v>258439</v>
      </c>
      <c r="K76" s="17">
        <v>830516.24</v>
      </c>
    </row>
    <row r="77" spans="2:11" ht="18">
      <c r="B77" s="20" t="s">
        <v>148</v>
      </c>
      <c r="C77" s="21">
        <v>0.23</v>
      </c>
      <c r="D77" s="21">
        <v>0.23</v>
      </c>
      <c r="E77" s="21">
        <v>0.23</v>
      </c>
      <c r="F77" s="21">
        <v>0.23</v>
      </c>
      <c r="G77" s="22">
        <v>0.23</v>
      </c>
      <c r="H77" s="27">
        <v>0</v>
      </c>
      <c r="I77" s="28">
        <v>0</v>
      </c>
      <c r="J77" s="23">
        <v>8000</v>
      </c>
      <c r="K77" s="24">
        <v>2000</v>
      </c>
    </row>
    <row r="78" spans="2:11" ht="18">
      <c r="B78" s="16" t="s">
        <v>159</v>
      </c>
      <c r="C78" s="17">
        <v>0.2</v>
      </c>
      <c r="D78" s="17">
        <v>0.2</v>
      </c>
      <c r="E78" s="17">
        <v>0.2</v>
      </c>
      <c r="F78" s="17">
        <v>0.2</v>
      </c>
      <c r="G78" s="18">
        <v>0.2</v>
      </c>
      <c r="H78" s="29">
        <v>0</v>
      </c>
      <c r="I78" s="30">
        <v>0</v>
      </c>
      <c r="J78" s="19">
        <v>320000</v>
      </c>
      <c r="K78" s="17">
        <v>64000</v>
      </c>
    </row>
    <row r="79" spans="2:11" ht="18">
      <c r="B79" s="20" t="s">
        <v>160</v>
      </c>
      <c r="C79" s="21">
        <v>2.93</v>
      </c>
      <c r="D79" s="21">
        <v>2.93</v>
      </c>
      <c r="E79" s="21">
        <v>2.93</v>
      </c>
      <c r="F79" s="21">
        <v>2.93</v>
      </c>
      <c r="G79" s="22">
        <v>2.93</v>
      </c>
      <c r="H79" s="27">
        <v>0</v>
      </c>
      <c r="I79" s="28">
        <v>0</v>
      </c>
      <c r="J79" s="23">
        <v>252</v>
      </c>
      <c r="K79" s="24">
        <v>665.28</v>
      </c>
    </row>
    <row r="80" spans="2:11" ht="18">
      <c r="B80" s="16" t="s">
        <v>53</v>
      </c>
      <c r="C80" s="17">
        <v>400</v>
      </c>
      <c r="D80" s="17">
        <v>400</v>
      </c>
      <c r="E80" s="18">
        <v>400</v>
      </c>
      <c r="F80" s="18">
        <v>400</v>
      </c>
      <c r="G80" s="18">
        <v>400</v>
      </c>
      <c r="H80" s="29">
        <v>0</v>
      </c>
      <c r="I80" s="30">
        <v>0</v>
      </c>
      <c r="J80" s="19">
        <v>485976</v>
      </c>
      <c r="K80" s="17">
        <v>194398929.59999999</v>
      </c>
    </row>
    <row r="81" spans="2:11" ht="18">
      <c r="B81" s="20" t="s">
        <v>147</v>
      </c>
      <c r="C81" s="21">
        <v>2.93</v>
      </c>
      <c r="D81" s="21">
        <v>2.93</v>
      </c>
      <c r="E81" s="21">
        <v>2.93</v>
      </c>
      <c r="F81" s="21">
        <v>2.93</v>
      </c>
      <c r="G81" s="22">
        <v>2.93</v>
      </c>
      <c r="H81" s="27">
        <v>0</v>
      </c>
      <c r="I81" s="28">
        <v>0</v>
      </c>
      <c r="J81" s="23">
        <v>2000</v>
      </c>
      <c r="K81" s="24">
        <v>5840</v>
      </c>
    </row>
    <row r="82" spans="2:11" ht="18">
      <c r="B82" s="16" t="s">
        <v>18</v>
      </c>
      <c r="C82" s="17">
        <v>40.5</v>
      </c>
      <c r="D82" s="17">
        <v>40.5</v>
      </c>
      <c r="E82" s="17">
        <v>40.5</v>
      </c>
      <c r="F82" s="17">
        <v>40.5</v>
      </c>
      <c r="G82" s="18">
        <v>40.5</v>
      </c>
      <c r="H82" s="29">
        <v>0</v>
      </c>
      <c r="I82" s="30">
        <v>0</v>
      </c>
      <c r="J82" s="19">
        <v>144660</v>
      </c>
      <c r="K82" s="17">
        <v>5863146.0499999998</v>
      </c>
    </row>
    <row r="83" spans="2:11" ht="18">
      <c r="B83" s="20" t="s">
        <v>19</v>
      </c>
      <c r="C83" s="21">
        <v>1.22</v>
      </c>
      <c r="D83" s="21">
        <v>1.22</v>
      </c>
      <c r="E83" s="21">
        <v>1.28</v>
      </c>
      <c r="F83" s="21">
        <v>1.23</v>
      </c>
      <c r="G83" s="22">
        <v>1.28</v>
      </c>
      <c r="H83" s="33">
        <v>6.0000000000000053E-2</v>
      </c>
      <c r="I83" s="34">
        <v>4.9180327868852514E-2</v>
      </c>
      <c r="J83" s="23">
        <v>83686507</v>
      </c>
      <c r="K83" s="24">
        <v>105435823.06</v>
      </c>
    </row>
    <row r="84" spans="2:11" ht="18">
      <c r="B84" s="16" t="s">
        <v>161</v>
      </c>
      <c r="C84" s="17">
        <v>0.2</v>
      </c>
      <c r="D84" s="17">
        <v>0.2</v>
      </c>
      <c r="E84" s="18">
        <v>0.2</v>
      </c>
      <c r="F84" s="18">
        <v>0.2</v>
      </c>
      <c r="G84" s="18">
        <v>0.2</v>
      </c>
      <c r="H84" s="29">
        <v>0</v>
      </c>
      <c r="I84" s="30">
        <v>0</v>
      </c>
      <c r="J84" s="19">
        <v>10000</v>
      </c>
      <c r="K84" s="17">
        <v>2000</v>
      </c>
    </row>
    <row r="85" spans="2:11" ht="18">
      <c r="B85" s="20" t="s">
        <v>162</v>
      </c>
      <c r="C85" s="21">
        <v>0.35</v>
      </c>
      <c r="D85" s="21">
        <v>0.35</v>
      </c>
      <c r="E85" s="21">
        <v>0.35</v>
      </c>
      <c r="F85" s="21">
        <v>0.35</v>
      </c>
      <c r="G85" s="22">
        <v>0.35</v>
      </c>
      <c r="H85" s="27">
        <v>0</v>
      </c>
      <c r="I85" s="28">
        <v>0</v>
      </c>
      <c r="J85" s="23">
        <v>2564</v>
      </c>
      <c r="K85" s="24">
        <v>820.48</v>
      </c>
    </row>
    <row r="86" spans="2:11" ht="18">
      <c r="B86" s="16" t="s">
        <v>20</v>
      </c>
      <c r="C86" s="17">
        <v>88</v>
      </c>
      <c r="D86" s="17">
        <v>88</v>
      </c>
      <c r="E86" s="18">
        <v>96.8</v>
      </c>
      <c r="F86" s="18">
        <v>96.8</v>
      </c>
      <c r="G86" s="18">
        <v>96.8</v>
      </c>
      <c r="H86" s="31">
        <v>8.7999999999999972</v>
      </c>
      <c r="I86" s="32">
        <v>9.9999999999999867E-2</v>
      </c>
      <c r="J86" s="19">
        <v>229026</v>
      </c>
      <c r="K86" s="17">
        <v>22067571.300000001</v>
      </c>
    </row>
    <row r="87" spans="2:11" ht="18">
      <c r="B87" s="20" t="s">
        <v>144</v>
      </c>
      <c r="C87" s="21">
        <v>4</v>
      </c>
      <c r="D87" s="21">
        <v>4</v>
      </c>
      <c r="E87" s="21">
        <v>4</v>
      </c>
      <c r="F87" s="21">
        <v>4</v>
      </c>
      <c r="G87" s="22">
        <v>4</v>
      </c>
      <c r="H87" s="27">
        <v>0</v>
      </c>
      <c r="I87" s="28">
        <v>0</v>
      </c>
      <c r="J87" s="23">
        <v>15010</v>
      </c>
      <c r="K87" s="24">
        <v>54036</v>
      </c>
    </row>
    <row r="88" spans="2:11" ht="18">
      <c r="B88" s="16" t="s">
        <v>21</v>
      </c>
      <c r="C88" s="17">
        <v>0.57999999999999996</v>
      </c>
      <c r="D88" s="17">
        <v>0.57999999999999996</v>
      </c>
      <c r="E88" s="18">
        <v>0.59</v>
      </c>
      <c r="F88" s="18">
        <v>0.56999999999999995</v>
      </c>
      <c r="G88" s="18">
        <v>0.57999999999999996</v>
      </c>
      <c r="H88" s="29">
        <v>0</v>
      </c>
      <c r="I88" s="30">
        <v>0</v>
      </c>
      <c r="J88" s="19">
        <v>14983144</v>
      </c>
      <c r="K88" s="17">
        <v>8635830.4199999999</v>
      </c>
    </row>
    <row r="89" spans="2:11" ht="18">
      <c r="B89" s="20" t="s">
        <v>163</v>
      </c>
      <c r="C89" s="21">
        <v>0.4</v>
      </c>
      <c r="D89" s="21">
        <v>0.4</v>
      </c>
      <c r="E89" s="21">
        <v>0.4</v>
      </c>
      <c r="F89" s="21">
        <v>0.4</v>
      </c>
      <c r="G89" s="22">
        <v>0.4</v>
      </c>
      <c r="H89" s="27">
        <v>0</v>
      </c>
      <c r="I89" s="28">
        <v>0</v>
      </c>
      <c r="J89" s="23">
        <v>14294</v>
      </c>
      <c r="K89" s="24">
        <v>5689.36</v>
      </c>
    </row>
    <row r="90" spans="2:11" ht="18">
      <c r="B90" s="16" t="s">
        <v>22</v>
      </c>
      <c r="C90" s="17">
        <v>6.35</v>
      </c>
      <c r="D90" s="17">
        <v>6.35</v>
      </c>
      <c r="E90" s="17">
        <v>6.95</v>
      </c>
      <c r="F90" s="17">
        <v>6.35</v>
      </c>
      <c r="G90" s="18">
        <v>6.95</v>
      </c>
      <c r="H90" s="31">
        <v>0.60000000000000053</v>
      </c>
      <c r="I90" s="32">
        <v>9.4488188976378007E-2</v>
      </c>
      <c r="J90" s="19">
        <v>5573300</v>
      </c>
      <c r="K90" s="17">
        <v>35833089.5</v>
      </c>
    </row>
    <row r="91" spans="2:11" ht="18">
      <c r="B91" s="20" t="s">
        <v>79</v>
      </c>
      <c r="C91" s="21">
        <v>0.87</v>
      </c>
      <c r="D91" s="21">
        <v>0.87</v>
      </c>
      <c r="E91" s="21">
        <v>0.87</v>
      </c>
      <c r="F91" s="21">
        <v>0.87</v>
      </c>
      <c r="G91" s="22">
        <v>0.87</v>
      </c>
      <c r="H91" s="27">
        <v>0</v>
      </c>
      <c r="I91" s="28">
        <v>0</v>
      </c>
      <c r="J91" s="23">
        <v>2132980</v>
      </c>
      <c r="K91" s="24">
        <v>1856242.06</v>
      </c>
    </row>
    <row r="92" spans="2:11" ht="18">
      <c r="B92" s="16" t="s">
        <v>23</v>
      </c>
      <c r="C92" s="17">
        <v>6.05</v>
      </c>
      <c r="D92" s="17">
        <v>6.05</v>
      </c>
      <c r="E92" s="17">
        <v>6.25</v>
      </c>
      <c r="F92" s="17">
        <v>6.1</v>
      </c>
      <c r="G92" s="18">
        <v>6.2</v>
      </c>
      <c r="H92" s="31">
        <v>0.15000000000000036</v>
      </c>
      <c r="I92" s="32">
        <v>2.4793388429752206E-2</v>
      </c>
      <c r="J92" s="19">
        <v>13733121</v>
      </c>
      <c r="K92" s="17">
        <v>84383522.150000006</v>
      </c>
    </row>
    <row r="93" spans="2:11" ht="18">
      <c r="B93" s="20" t="s">
        <v>24</v>
      </c>
      <c r="C93" s="21">
        <v>5.15</v>
      </c>
      <c r="D93" s="21">
        <v>5.15</v>
      </c>
      <c r="E93" s="21">
        <v>5</v>
      </c>
      <c r="F93" s="21">
        <v>5</v>
      </c>
      <c r="G93" s="22">
        <v>5</v>
      </c>
      <c r="H93" s="35">
        <v>-0.15000000000000036</v>
      </c>
      <c r="I93" s="36">
        <v>-2.9126213592233108E-2</v>
      </c>
      <c r="J93" s="23">
        <v>1503200</v>
      </c>
      <c r="K93" s="24">
        <v>7464821.2999999998</v>
      </c>
    </row>
    <row r="94" spans="2:11" ht="18">
      <c r="B94" s="16" t="s">
        <v>28</v>
      </c>
      <c r="C94" s="17">
        <v>3.33</v>
      </c>
      <c r="D94" s="17">
        <v>3.33</v>
      </c>
      <c r="E94" s="18">
        <v>3.33</v>
      </c>
      <c r="F94" s="18">
        <v>3.32</v>
      </c>
      <c r="G94" s="18">
        <v>3.33</v>
      </c>
      <c r="H94" s="29">
        <v>0</v>
      </c>
      <c r="I94" s="30">
        <v>0</v>
      </c>
      <c r="J94" s="19">
        <v>2939723</v>
      </c>
      <c r="K94" s="17">
        <v>9771329.25</v>
      </c>
    </row>
    <row r="95" spans="2:11" ht="18">
      <c r="B95" s="20" t="s">
        <v>25</v>
      </c>
      <c r="C95" s="21">
        <v>13.6</v>
      </c>
      <c r="D95" s="21">
        <v>13.6</v>
      </c>
      <c r="E95" s="21">
        <v>13.6</v>
      </c>
      <c r="F95" s="21">
        <v>13.6</v>
      </c>
      <c r="G95" s="22">
        <v>13.6</v>
      </c>
      <c r="H95" s="27">
        <v>0</v>
      </c>
      <c r="I95" s="28">
        <v>0</v>
      </c>
      <c r="J95" s="23">
        <v>304617</v>
      </c>
      <c r="K95" s="24">
        <v>4136417.2</v>
      </c>
    </row>
    <row r="96" spans="2:11" ht="18">
      <c r="B96" s="16" t="s">
        <v>151</v>
      </c>
      <c r="C96" s="17">
        <v>0.25</v>
      </c>
      <c r="D96" s="17">
        <v>0.25</v>
      </c>
      <c r="E96" s="18">
        <v>0.27</v>
      </c>
      <c r="F96" s="18">
        <v>0.25</v>
      </c>
      <c r="G96" s="18">
        <v>0.25</v>
      </c>
      <c r="H96" s="29">
        <v>0</v>
      </c>
      <c r="I96" s="30">
        <v>0</v>
      </c>
      <c r="J96" s="19">
        <v>600000</v>
      </c>
      <c r="K96" s="17">
        <v>160000</v>
      </c>
    </row>
    <row r="97" spans="2:11" ht="18">
      <c r="B97" s="20" t="s">
        <v>58</v>
      </c>
      <c r="C97" s="21">
        <v>0.56999999999999995</v>
      </c>
      <c r="D97" s="21">
        <v>0.56999999999999995</v>
      </c>
      <c r="E97" s="21">
        <v>0.56999999999999995</v>
      </c>
      <c r="F97" s="21">
        <v>0.56999999999999995</v>
      </c>
      <c r="G97" s="22">
        <v>0.56999999999999995</v>
      </c>
      <c r="H97" s="27">
        <v>0</v>
      </c>
      <c r="I97" s="28">
        <v>0</v>
      </c>
      <c r="J97" s="23">
        <v>18753</v>
      </c>
      <c r="K97" s="24">
        <v>11199.02</v>
      </c>
    </row>
    <row r="98" spans="2:11" ht="18">
      <c r="B98" s="16" t="s">
        <v>149</v>
      </c>
      <c r="C98" s="17">
        <v>1.33</v>
      </c>
      <c r="D98" s="17">
        <v>1.33</v>
      </c>
      <c r="E98" s="18">
        <v>1.24</v>
      </c>
      <c r="F98" s="18">
        <v>1.24</v>
      </c>
      <c r="G98" s="18">
        <v>1.24</v>
      </c>
      <c r="H98" s="25">
        <v>-9.000000000000008E-2</v>
      </c>
      <c r="I98" s="26">
        <v>-6.7669172932330879E-2</v>
      </c>
      <c r="J98" s="19">
        <v>348816</v>
      </c>
      <c r="K98" s="17">
        <v>473199.69</v>
      </c>
    </row>
    <row r="99" spans="2:11" ht="18">
      <c r="B99" s="20" t="s">
        <v>49</v>
      </c>
      <c r="C99" s="21">
        <v>6</v>
      </c>
      <c r="D99" s="21">
        <v>6</v>
      </c>
      <c r="E99" s="21">
        <v>6</v>
      </c>
      <c r="F99" s="21">
        <v>6</v>
      </c>
      <c r="G99" s="22">
        <v>6</v>
      </c>
      <c r="H99" s="27">
        <v>0</v>
      </c>
      <c r="I99" s="28">
        <v>0</v>
      </c>
      <c r="J99" s="23">
        <v>303625</v>
      </c>
      <c r="K99" s="24">
        <v>1775794.75</v>
      </c>
    </row>
    <row r="100" spans="2:11" ht="18">
      <c r="B100" s="16" t="s">
        <v>26</v>
      </c>
      <c r="C100" s="17">
        <v>15</v>
      </c>
      <c r="D100" s="17">
        <v>15</v>
      </c>
      <c r="E100" s="17">
        <v>15</v>
      </c>
      <c r="F100" s="17">
        <v>15</v>
      </c>
      <c r="G100" s="18">
        <v>15</v>
      </c>
      <c r="H100" s="29">
        <v>0</v>
      </c>
      <c r="I100" s="30">
        <v>0</v>
      </c>
      <c r="J100" s="19">
        <v>18703237</v>
      </c>
      <c r="K100" s="17">
        <v>280590828</v>
      </c>
    </row>
    <row r="101" spans="2:11" ht="18">
      <c r="B101" s="20" t="s">
        <v>45</v>
      </c>
      <c r="C101" s="21">
        <v>0.35</v>
      </c>
      <c r="D101" s="21">
        <v>0.35</v>
      </c>
      <c r="E101" s="21">
        <v>0.37</v>
      </c>
      <c r="F101" s="21">
        <v>0.37</v>
      </c>
      <c r="G101" s="22">
        <v>0.37</v>
      </c>
      <c r="H101" s="33">
        <v>2.0000000000000018E-2</v>
      </c>
      <c r="I101" s="34">
        <v>5.7142857142857162E-2</v>
      </c>
      <c r="J101" s="23">
        <v>568065</v>
      </c>
      <c r="K101" s="24">
        <v>207898.11</v>
      </c>
    </row>
    <row r="102" spans="2:11" ht="18">
      <c r="B102" s="16" t="s">
        <v>47</v>
      </c>
      <c r="C102" s="17">
        <v>0.56999999999999995</v>
      </c>
      <c r="D102" s="17">
        <v>0.56999999999999995</v>
      </c>
      <c r="E102" s="17">
        <v>0.54</v>
      </c>
      <c r="F102" s="17">
        <v>0.54</v>
      </c>
      <c r="G102" s="18">
        <v>0.54</v>
      </c>
      <c r="H102" s="25">
        <v>-2.9999999999999916E-2</v>
      </c>
      <c r="I102" s="26">
        <v>-5.2631578947368252E-2</v>
      </c>
      <c r="J102" s="19">
        <v>594620</v>
      </c>
      <c r="K102" s="17">
        <v>324655.27</v>
      </c>
    </row>
    <row r="103" spans="2:11" ht="18">
      <c r="B103" s="20" t="s">
        <v>27</v>
      </c>
      <c r="C103" s="21">
        <v>17.5</v>
      </c>
      <c r="D103" s="21">
        <v>17.5</v>
      </c>
      <c r="E103" s="21">
        <v>17.95</v>
      </c>
      <c r="F103" s="21">
        <v>17.55</v>
      </c>
      <c r="G103" s="22">
        <v>17.850000000000001</v>
      </c>
      <c r="H103" s="33">
        <v>0.35000000000000142</v>
      </c>
      <c r="I103" s="34">
        <v>2.0000000000000018E-2</v>
      </c>
      <c r="J103" s="23">
        <v>24871132</v>
      </c>
      <c r="K103" s="24">
        <v>443397172.19999999</v>
      </c>
    </row>
  </sheetData>
  <sheetProtection algorithmName="SHA-512" hashValue="KzGuLdjgFF5kdD1GJpf5XnqkU5r2jvMwooUpkcGE4SxMsyAFy2GWttEmuZ551fZ5jiIbXcB7tIITX6lwrVhRIg==" saltValue="EF5e6T8WwrWgiTv3E4tVtg==" spinCount="100000" sheet="1" objects="1" scenarios="1"/>
  <sortState xmlns:xlrd2="http://schemas.microsoft.com/office/spreadsheetml/2017/richdata2" ref="B6:K80">
    <sortCondition ref="B6"/>
  </sortState>
  <pageMargins left="0.7" right="0.7" top="0.75" bottom="0.75" header="0.3" footer="0.3"/>
  <pageSetup scale="34" orientation="portrait" r:id="rId1"/>
  <headerFooter>
    <oddFooter>&amp;L&amp;1#&amp;"Calibri"&amp;10 Internal</oddFooter>
  </headerFooter>
  <drawing r:id="rId2"/>
  <extLst>
    <ext xmlns:x14="http://schemas.microsoft.com/office/spreadsheetml/2009/9/main" uri="{78C0D931-6437-407d-A8EE-F0AAD7539E65}">
      <x14:conditionalFormattings>
        <x14:conditionalFormatting xmlns:xm="http://schemas.microsoft.com/office/excel/2006/main">
          <x14:cfRule type="iconSet" priority="1423"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422"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421"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20"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19"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416"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415"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414"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13"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12"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411"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10"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09"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408"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407"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06"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04"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403"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02"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01"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400"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399"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398"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397"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395"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394"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393"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391"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390"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389"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388"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387"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386"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385"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374"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373"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372"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97"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196"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161"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60"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59"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158"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57"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46"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424"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428"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437"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445"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449"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453"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457"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461"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469"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130"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29"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28"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127"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26"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25"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124"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23"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22"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121"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120"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119"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118"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17"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16"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115"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114"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13"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12"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11"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10"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09"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08"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107"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06"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31"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132"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105"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104"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03"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02"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01"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54"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51"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50"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49"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48"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47"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46" id="{C6053FDA-4B4D-4F63-AD89-C5678B358530}">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45" id="{06363AC2-CDA1-43C5-8486-A30AD69AA676}">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44" id="{DD07B8BC-5563-44CD-8825-752FE0D7170B}">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43"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42"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41"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40"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39"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38"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37"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36" id="{75F346EA-EC14-457E-A01C-4C41C7232B8E}">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35" id="{5F97AEDE-5D56-461D-8948-9E7C02005310}">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34" id="{AEF6F82F-1BA9-4B3D-A9DA-819AF4EE9642}">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33" id="{AC67DE5E-E7BD-48EA-A488-2AE77F66F253}">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32" id="{EECD200D-0EDB-43CB-854A-F2E1E4C433EE}">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31" id="{909C0E85-3ACB-4D9F-AF60-8743358F24B6}">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30" id="{9CCEB883-CD15-4952-954B-D114A56F9A68}">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14" id="{50E70DA2-64E1-4A1D-B107-9CF654E3EEA1}">
            <x14:iconSet iconSet="3Arrows" custom="1">
              <x14:cfvo type="percent">
                <xm:f>0</xm:f>
              </x14:cfvo>
              <x14:cfvo type="num">
                <xm:f>0</xm:f>
              </x14:cfvo>
              <x14:cfvo type="num" gte="0">
                <xm:f>0</xm:f>
              </x14:cfvo>
              <x14:cfIcon iconSet="3Arrows" iconId="0"/>
              <x14:cfIcon iconSet="3TrafficLights1" iconId="1"/>
              <x14:cfIcon iconSet="3Arrows" iconId="2"/>
            </x14:iconSet>
          </x14:cfRule>
          <xm:sqref>I102</xm:sqref>
        </x14:conditionalFormatting>
        <x14:conditionalFormatting xmlns:xm="http://schemas.microsoft.com/office/excel/2006/main">
          <x14:cfRule type="iconSet" priority="1470" id="{6456B076-A1FA-489F-BA7F-FE81B33196EB}">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1471" id="{855D7DB0-6AA4-4561-9B2D-2F34A369B74D}">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1473" id="{074BB802-310B-453D-8532-0310212FA277}">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1474" id="{13D74952-2595-476D-BE75-2ABA6E42D918}">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1475" id="{C07B5B63-C804-4016-9978-F8957F5C2EE8}">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 xmlns:xm="http://schemas.microsoft.com/office/excel/2006/main">
          <x14:cfRule type="iconSet" priority="1476" id="{83879AD5-15D5-4375-A910-68FD53D7A8C3}">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477" id="{33F9DC73-766B-420E-A05F-A50716922B70}">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1" id="{9B805E2B-CB5A-4823-88CA-DCE8C4E62C07}">
            <x14:iconSet iconSet="3Arrows" custom="1">
              <x14:cfvo type="percent">
                <xm:f>0</xm:f>
              </x14:cfvo>
              <x14:cfvo type="num">
                <xm:f>0</xm:f>
              </x14:cfvo>
              <x14:cfvo type="num" gte="0">
                <xm:f>0</xm:f>
              </x14:cfvo>
              <x14:cfIcon iconSet="3Arrows" iconId="0"/>
              <x14:cfIcon iconSet="3TrafficLights1" iconId="1"/>
              <x14:cfIcon iconSet="3Arrows" iconId="2"/>
            </x14:iconSet>
          </x14:cfRule>
          <xm:sqref>I103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Y390"/>
  <sheetViews>
    <sheetView showGridLines="0" zoomScale="50" zoomScaleNormal="50" workbookViewId="0">
      <selection activeCell="K47" sqref="K47"/>
    </sheetView>
  </sheetViews>
  <sheetFormatPr defaultColWidth="10.28515625" defaultRowHeight="30" customHeight="1"/>
  <cols>
    <col min="1" max="1" width="5.85546875" style="37" customWidth="1"/>
    <col min="2" max="2" width="6.42578125" style="37" customWidth="1"/>
    <col min="3" max="3" width="48" style="37" customWidth="1"/>
    <col min="4" max="4" width="1.28515625" style="37" customWidth="1"/>
    <col min="5" max="5" width="20.85546875" style="37" customWidth="1"/>
    <col min="6" max="6" width="15.28515625" style="37" customWidth="1"/>
    <col min="7" max="7" width="17.85546875" style="37" customWidth="1"/>
    <col min="8" max="8" width="18" style="37" customWidth="1"/>
    <col min="9" max="9" width="20.85546875" style="37" customWidth="1"/>
    <col min="10" max="10" width="18.7109375" style="37" customWidth="1"/>
    <col min="11" max="11" width="24.140625" style="37" customWidth="1"/>
    <col min="12" max="12" width="20.42578125" style="37" customWidth="1"/>
    <col min="13" max="13" width="17.42578125" style="37" customWidth="1"/>
    <col min="14" max="14" width="18.85546875" style="37" customWidth="1"/>
    <col min="15" max="15" width="20" style="37" customWidth="1"/>
    <col min="16" max="16" width="17" style="37" bestFit="1" customWidth="1"/>
    <col min="17" max="17" width="21.85546875" style="37" bestFit="1" customWidth="1"/>
    <col min="18" max="18" width="17.7109375" style="37" customWidth="1"/>
    <col min="19" max="19" width="16" style="39" customWidth="1"/>
    <col min="20" max="46" width="10.28515625" style="39"/>
    <col min="47" max="16384" width="10.28515625" style="37"/>
  </cols>
  <sheetData>
    <row r="1" spans="1:51" ht="30" customHeight="1">
      <c r="B1" s="38"/>
      <c r="C1" s="38"/>
      <c r="D1" s="38"/>
      <c r="E1" s="38"/>
      <c r="F1" s="38"/>
      <c r="G1" s="38"/>
      <c r="H1" s="38"/>
      <c r="I1" s="38"/>
      <c r="J1" s="38"/>
      <c r="K1" s="38"/>
      <c r="L1" s="38"/>
      <c r="M1" s="38"/>
      <c r="N1" s="38"/>
      <c r="O1" s="38"/>
      <c r="P1" s="38"/>
      <c r="Q1" s="38"/>
      <c r="R1" s="38"/>
      <c r="S1" s="38"/>
    </row>
    <row r="2" spans="1:51" ht="30" customHeight="1">
      <c r="B2" s="38"/>
      <c r="C2" s="38"/>
      <c r="D2" s="38"/>
      <c r="E2" s="38"/>
      <c r="F2" s="38"/>
      <c r="G2" s="38"/>
      <c r="H2" s="38"/>
      <c r="I2" s="38"/>
      <c r="J2" s="38"/>
      <c r="K2" s="38"/>
      <c r="L2" s="38"/>
      <c r="M2" s="38"/>
      <c r="N2" s="38"/>
      <c r="O2" s="38"/>
      <c r="P2" s="38"/>
      <c r="Q2" s="38"/>
      <c r="R2" s="38"/>
      <c r="S2" s="38"/>
    </row>
    <row r="3" spans="1:51" ht="51.6" customHeight="1">
      <c r="B3" s="38"/>
      <c r="D3" s="41"/>
      <c r="E3" s="38"/>
      <c r="F3" s="38"/>
      <c r="G3" s="38"/>
      <c r="H3" s="38"/>
      <c r="I3" s="38"/>
      <c r="J3" s="38"/>
      <c r="K3" s="38"/>
      <c r="L3" s="38"/>
      <c r="M3" s="42"/>
      <c r="N3" s="38"/>
      <c r="O3" s="42"/>
      <c r="P3" s="38"/>
      <c r="Q3" s="38"/>
      <c r="R3" s="38"/>
      <c r="S3" s="38"/>
    </row>
    <row r="4" spans="1:51" ht="66" customHeight="1">
      <c r="B4" s="38"/>
      <c r="C4" s="40" t="s">
        <v>84</v>
      </c>
      <c r="D4" s="109"/>
      <c r="E4" s="43"/>
      <c r="G4" s="38"/>
      <c r="H4" s="38"/>
      <c r="I4" s="38"/>
      <c r="J4" s="38"/>
      <c r="K4" s="38"/>
      <c r="L4" s="38"/>
      <c r="M4" s="38"/>
      <c r="N4" s="38"/>
      <c r="O4" s="38"/>
      <c r="P4" s="38"/>
      <c r="Q4" s="38"/>
      <c r="R4" s="38"/>
      <c r="S4" s="38"/>
    </row>
    <row r="5" spans="1:51" ht="16.5" customHeight="1">
      <c r="S5" s="37"/>
    </row>
    <row r="6" spans="1:51" ht="4.5" customHeight="1">
      <c r="C6" s="44"/>
      <c r="D6" s="45"/>
      <c r="E6" s="43"/>
      <c r="S6" s="37"/>
    </row>
    <row r="7" spans="1:51" ht="44.25" customHeight="1">
      <c r="B7" s="46"/>
      <c r="C7" s="55"/>
      <c r="D7" s="56"/>
      <c r="E7" s="57" t="s">
        <v>85</v>
      </c>
      <c r="F7" s="57" t="s">
        <v>114</v>
      </c>
      <c r="G7" s="57" t="s">
        <v>86</v>
      </c>
      <c r="H7" s="57" t="s">
        <v>87</v>
      </c>
      <c r="I7" s="58" t="s">
        <v>88</v>
      </c>
      <c r="J7" s="57" t="s">
        <v>140</v>
      </c>
      <c r="K7" s="57" t="s">
        <v>90</v>
      </c>
      <c r="L7" s="57" t="s">
        <v>91</v>
      </c>
      <c r="M7" s="57" t="s">
        <v>92</v>
      </c>
      <c r="N7" s="57" t="s">
        <v>166</v>
      </c>
      <c r="O7" s="57" t="s">
        <v>167</v>
      </c>
      <c r="P7" s="57" t="s">
        <v>115</v>
      </c>
      <c r="Q7" s="57" t="s">
        <v>116</v>
      </c>
      <c r="R7" s="57" t="s">
        <v>93</v>
      </c>
      <c r="S7" s="59" t="s">
        <v>126</v>
      </c>
    </row>
    <row r="8" spans="1:51" ht="15" customHeight="1">
      <c r="C8" s="60"/>
      <c r="D8" s="61"/>
      <c r="E8" s="62"/>
      <c r="F8" s="63"/>
      <c r="G8" s="63"/>
      <c r="H8" s="63"/>
      <c r="I8" s="63"/>
      <c r="J8" s="63"/>
      <c r="K8" s="63"/>
      <c r="L8" s="63"/>
      <c r="M8" s="63"/>
      <c r="N8" s="63"/>
      <c r="O8" s="63"/>
      <c r="P8" s="63"/>
      <c r="Q8" s="63"/>
      <c r="R8" s="64"/>
      <c r="S8" s="65"/>
      <c r="T8" s="53"/>
    </row>
    <row r="9" spans="1:51" ht="28.5" customHeight="1">
      <c r="C9" s="66"/>
      <c r="D9" s="67"/>
      <c r="E9" s="68"/>
      <c r="F9" s="68"/>
      <c r="G9" s="68"/>
      <c r="H9" s="68"/>
      <c r="I9" s="68"/>
      <c r="J9" s="68"/>
      <c r="K9" s="68"/>
      <c r="L9" s="68"/>
      <c r="M9" s="68"/>
      <c r="N9" s="68"/>
      <c r="O9" s="68"/>
      <c r="P9" s="68"/>
      <c r="Q9" s="68"/>
      <c r="R9" s="69"/>
      <c r="S9" s="70"/>
    </row>
    <row r="10" spans="1:51" ht="30" hidden="1" customHeight="1">
      <c r="B10" s="46"/>
      <c r="C10" s="71" t="s">
        <v>117</v>
      </c>
      <c r="D10" s="72" t="s">
        <v>96</v>
      </c>
      <c r="E10" s="73" t="s">
        <v>97</v>
      </c>
      <c r="F10" s="74" t="s">
        <v>118</v>
      </c>
      <c r="G10" s="74" t="s">
        <v>98</v>
      </c>
      <c r="H10" s="74" t="s">
        <v>99</v>
      </c>
      <c r="I10" s="75" t="s">
        <v>95</v>
      </c>
      <c r="J10" s="75" t="s">
        <v>100</v>
      </c>
      <c r="K10" s="75" t="s">
        <v>101</v>
      </c>
      <c r="L10" s="74" t="s">
        <v>102</v>
      </c>
      <c r="M10" s="74" t="s">
        <v>119</v>
      </c>
      <c r="N10" s="74" t="s">
        <v>103</v>
      </c>
      <c r="O10" s="74" t="s">
        <v>120</v>
      </c>
      <c r="P10" s="74" t="s">
        <v>104</v>
      </c>
      <c r="Q10" s="75" t="s">
        <v>105</v>
      </c>
      <c r="R10" s="76" t="s">
        <v>106</v>
      </c>
      <c r="S10" s="77" t="s">
        <v>105</v>
      </c>
    </row>
    <row r="11" spans="1:51" s="39" customFormat="1" ht="37.5" customHeight="1">
      <c r="A11" s="37"/>
      <c r="B11" s="37"/>
      <c r="C11" s="104" t="s">
        <v>94</v>
      </c>
      <c r="D11" s="78"/>
      <c r="E11" s="79"/>
      <c r="F11" s="79"/>
      <c r="G11" s="79"/>
      <c r="H11" s="79"/>
      <c r="I11" s="79"/>
      <c r="J11" s="79"/>
      <c r="K11" s="79"/>
      <c r="L11" s="79"/>
      <c r="M11" s="79"/>
      <c r="N11" s="79"/>
      <c r="O11" s="79"/>
      <c r="P11" s="79"/>
      <c r="Q11" s="79"/>
      <c r="R11" s="80"/>
      <c r="S11" s="81"/>
      <c r="AU11" s="37"/>
      <c r="AV11" s="37"/>
      <c r="AW11" s="37"/>
      <c r="AX11" s="37"/>
      <c r="AY11" s="37"/>
    </row>
    <row r="12" spans="1:51" ht="39.950000000000003" customHeight="1">
      <c r="B12" s="46"/>
      <c r="C12" s="102" t="s">
        <v>0</v>
      </c>
      <c r="D12" s="96"/>
      <c r="E12" s="97">
        <f>VLOOKUP(C12,'Pricelist _ Sep.30.2020'!$B$6:$G$110,6,FALSE)</f>
        <v>6.7</v>
      </c>
      <c r="F12" s="98">
        <f>Revenue2[[#This Row],[Column3]]/Revenue2[[#This Row],[Column6]]</f>
        <v>2.3103448275862069</v>
      </c>
      <c r="G12" s="98">
        <v>0.35662361496976958</v>
      </c>
      <c r="H12" s="98">
        <v>2.9</v>
      </c>
      <c r="I12" s="98" t="s">
        <v>107</v>
      </c>
      <c r="J12" s="98">
        <v>45.23057</v>
      </c>
      <c r="K12" s="98">
        <v>20.284680000000002</v>
      </c>
      <c r="L12" s="98">
        <v>6.4669999999999996</v>
      </c>
      <c r="M12" s="98">
        <v>7.78</v>
      </c>
      <c r="N12" s="89">
        <v>5.3</v>
      </c>
      <c r="O12" s="89">
        <v>12</v>
      </c>
      <c r="P12" s="99">
        <f>(Revenue2[[#This Row],[Column3]]/10)-1</f>
        <v>-0.32999999999999996</v>
      </c>
      <c r="Q12" s="98">
        <v>0.65</v>
      </c>
      <c r="R12" s="100">
        <f>Revenue2[[#This Row],[Column15]]/Revenue2[[#This Row],[Column3]]</f>
        <v>9.7014925373134331E-2</v>
      </c>
      <c r="S12" s="98" t="s">
        <v>127</v>
      </c>
    </row>
    <row r="13" spans="1:51" ht="39.950000000000003" customHeight="1">
      <c r="C13" s="103" t="s">
        <v>6</v>
      </c>
      <c r="D13" s="101"/>
      <c r="E13" s="97">
        <f>VLOOKUP(C13,'Pricelist _ Sep.30.2020'!$B$6:$G$110,6,FALSE)</f>
        <v>4.2</v>
      </c>
      <c r="F13" s="98">
        <v>1.53</v>
      </c>
      <c r="G13" s="98">
        <v>0.16882226630062772</v>
      </c>
      <c r="H13" s="98">
        <v>0.4</v>
      </c>
      <c r="I13" s="98" t="s">
        <v>107</v>
      </c>
      <c r="J13" s="98">
        <v>37.678440000000002</v>
      </c>
      <c r="K13" s="98">
        <v>23.22456</v>
      </c>
      <c r="L13" s="98">
        <v>4.6665000000000001</v>
      </c>
      <c r="M13" s="98">
        <v>5.6147499999999999</v>
      </c>
      <c r="N13" s="89">
        <v>3.9</v>
      </c>
      <c r="O13" s="89">
        <v>9</v>
      </c>
      <c r="P13" s="99">
        <f>(Revenue2[[#This Row],[Column3]]/6.5)-1</f>
        <v>-0.35384615384615381</v>
      </c>
      <c r="Q13" s="98" t="s">
        <v>107</v>
      </c>
      <c r="R13" s="100" t="s">
        <v>107</v>
      </c>
      <c r="S13" s="98" t="s">
        <v>127</v>
      </c>
    </row>
    <row r="14" spans="1:51" s="39" customFormat="1" ht="39.950000000000003" customHeight="1">
      <c r="A14" s="37"/>
      <c r="B14" s="37"/>
      <c r="C14" s="103" t="s">
        <v>7</v>
      </c>
      <c r="D14" s="101"/>
      <c r="E14" s="97">
        <f>VLOOKUP(C14,'Pricelist _ Sep.30.2020'!$B$6:$G$110,6,FALSE)</f>
        <v>5.2</v>
      </c>
      <c r="F14" s="98">
        <f>Revenue2[[#This Row],[Column3]]/Revenue2[[#This Row],[Column6]]</f>
        <v>2.666666666666667</v>
      </c>
      <c r="G14" s="98">
        <v>0.2554055004586484</v>
      </c>
      <c r="H14" s="98">
        <v>1.95</v>
      </c>
      <c r="I14" s="98" t="s">
        <v>107</v>
      </c>
      <c r="J14" s="98">
        <v>49.816830000000003</v>
      </c>
      <c r="K14" s="98">
        <v>11.7774</v>
      </c>
      <c r="L14" s="98">
        <v>4.9535</v>
      </c>
      <c r="M14" s="98">
        <v>5.4902499999999996</v>
      </c>
      <c r="N14" s="89">
        <v>3.6</v>
      </c>
      <c r="O14" s="89">
        <v>7.85</v>
      </c>
      <c r="P14" s="99">
        <f>(Revenue2[[#This Row],[Column3]]/6.15)-1</f>
        <v>-0.15447154471544722</v>
      </c>
      <c r="Q14" s="98">
        <v>0.38</v>
      </c>
      <c r="R14" s="100">
        <f>Revenue2[[#This Row],[Column15]]/Revenue2[[#This Row],[Column3]]</f>
        <v>7.3076923076923081E-2</v>
      </c>
      <c r="S14" s="98" t="s">
        <v>127</v>
      </c>
      <c r="AU14" s="37"/>
      <c r="AV14" s="37"/>
      <c r="AW14" s="37"/>
      <c r="AX14" s="37"/>
      <c r="AY14" s="37"/>
    </row>
    <row r="15" spans="1:51" s="39" customFormat="1" ht="39.950000000000003" customHeight="1">
      <c r="A15" s="37"/>
      <c r="B15" s="37"/>
      <c r="C15" s="103" t="s">
        <v>8</v>
      </c>
      <c r="D15" s="101"/>
      <c r="E15" s="97">
        <f>VLOOKUP(C15,'Pricelist _ Sep.30.2020'!$B$6:$G$110,6,FALSE)</f>
        <v>2.19</v>
      </c>
      <c r="F15" s="98">
        <f>Revenue2[[#This Row],[Column3]]/Revenue2[[#This Row],[Column6]]</f>
        <v>2.4606741573033708</v>
      </c>
      <c r="G15" s="98">
        <v>0.19874213409656014</v>
      </c>
      <c r="H15" s="98">
        <v>0.89</v>
      </c>
      <c r="I15" s="98" t="s">
        <v>107</v>
      </c>
      <c r="J15" s="98">
        <v>61.518129999999999</v>
      </c>
      <c r="K15" s="98">
        <v>28.338830000000002</v>
      </c>
      <c r="L15" s="98">
        <v>1.8007</v>
      </c>
      <c r="M15" s="98">
        <v>1.8182</v>
      </c>
      <c r="N15" s="89">
        <v>1.41</v>
      </c>
      <c r="O15" s="89">
        <v>2.2000000000000002</v>
      </c>
      <c r="P15" s="99">
        <f>(Revenue2[[#This Row],[Column3]]/1.85)-1</f>
        <v>0.18378378378378368</v>
      </c>
      <c r="Q15" s="98">
        <v>0.14000000000000001</v>
      </c>
      <c r="R15" s="100">
        <f>Revenue2[[#This Row],[Column15]]/Revenue2[[#This Row],[Column3]]</f>
        <v>6.3926940639269417E-2</v>
      </c>
      <c r="S15" s="98" t="s">
        <v>127</v>
      </c>
      <c r="AU15" s="37"/>
      <c r="AV15" s="37"/>
      <c r="AW15" s="37"/>
      <c r="AX15" s="37"/>
      <c r="AY15" s="37"/>
    </row>
    <row r="16" spans="1:51" s="39" customFormat="1" ht="39.950000000000003" customHeight="1">
      <c r="A16" s="37"/>
      <c r="B16" s="37"/>
      <c r="C16" s="103" t="s">
        <v>9</v>
      </c>
      <c r="D16" s="101"/>
      <c r="E16" s="97">
        <f>VLOOKUP(C16,'Pricelist _ Sep.30.2020'!$B$6:$G$110,6,FALSE)</f>
        <v>1.85</v>
      </c>
      <c r="F16" s="98">
        <f>Revenue2[[#This Row],[Column3]]/Revenue2[[#This Row],[Column6]]</f>
        <v>1.8877551020408165</v>
      </c>
      <c r="G16" s="98">
        <v>0.2103062897047136</v>
      </c>
      <c r="H16" s="98">
        <v>0.98</v>
      </c>
      <c r="I16" s="98" t="s">
        <v>107</v>
      </c>
      <c r="J16" s="98">
        <v>49.62811</v>
      </c>
      <c r="K16" s="98">
        <v>26.655519999999999</v>
      </c>
      <c r="L16" s="98">
        <v>1.8051999999999999</v>
      </c>
      <c r="M16" s="98">
        <v>1.91425</v>
      </c>
      <c r="N16" s="89">
        <v>1.5</v>
      </c>
      <c r="O16" s="89">
        <v>2.4</v>
      </c>
      <c r="P16" s="99">
        <f>(Revenue2[[#This Row],[Column3]]/2.05)-1</f>
        <v>-9.7560975609755962E-2</v>
      </c>
      <c r="Q16" s="98">
        <v>0.2</v>
      </c>
      <c r="R16" s="100">
        <f>Revenue2[[#This Row],[Column15]]/Revenue2[[#This Row],[Column3]]</f>
        <v>0.10810810810810811</v>
      </c>
      <c r="S16" s="98" t="s">
        <v>127</v>
      </c>
      <c r="AU16" s="37"/>
      <c r="AV16" s="37"/>
      <c r="AW16" s="37"/>
      <c r="AX16" s="37"/>
      <c r="AY16" s="37"/>
    </row>
    <row r="17" spans="1:51" s="39" customFormat="1" ht="39.950000000000003" customHeight="1">
      <c r="A17" s="37"/>
      <c r="B17" s="37"/>
      <c r="C17" s="103" t="s">
        <v>11</v>
      </c>
      <c r="D17" s="101"/>
      <c r="E17" s="97">
        <f>VLOOKUP(C17,'Pricelist _ Sep.30.2020'!$B$6:$G$110,6,FALSE)</f>
        <v>28.05</v>
      </c>
      <c r="F17" s="98">
        <f>Revenue2[[#This Row],[Column3]]/Revenue2[[#This Row],[Column6]]</f>
        <v>4.0301724137931032</v>
      </c>
      <c r="G17" s="98">
        <v>1.1554612550286565</v>
      </c>
      <c r="H17" s="98">
        <v>6.96</v>
      </c>
      <c r="I17" s="98" t="s">
        <v>107</v>
      </c>
      <c r="J17" s="98">
        <v>60.039119999999997</v>
      </c>
      <c r="K17" s="98">
        <v>27.641290000000001</v>
      </c>
      <c r="L17" s="98">
        <v>22.318999999999999</v>
      </c>
      <c r="M17" s="98">
        <v>24.990749999999998</v>
      </c>
      <c r="N17" s="89">
        <v>16.7</v>
      </c>
      <c r="O17" s="89">
        <v>34.4</v>
      </c>
      <c r="P17" s="99">
        <f>(Revenue2[[#This Row],[Column3]]/29.7)-1</f>
        <v>-5.5555555555555469E-2</v>
      </c>
      <c r="Q17" s="98">
        <v>2.8</v>
      </c>
      <c r="R17" s="100">
        <f>Revenue2[[#This Row],[Column15]]/Revenue2[[#This Row],[Column3]]</f>
        <v>9.9821746880570397E-2</v>
      </c>
      <c r="S17" s="98" t="s">
        <v>127</v>
      </c>
      <c r="AU17" s="37"/>
      <c r="AV17" s="37"/>
      <c r="AW17" s="37"/>
      <c r="AX17" s="37"/>
      <c r="AY17" s="37"/>
    </row>
    <row r="18" spans="1:51" s="39" customFormat="1" ht="39.950000000000003" customHeight="1">
      <c r="A18" s="37"/>
      <c r="B18" s="37"/>
      <c r="C18" s="103" t="s">
        <v>50</v>
      </c>
      <c r="D18" s="101"/>
      <c r="E18" s="97">
        <f>VLOOKUP(C18,'Pricelist _ Sep.30.2020'!$B$6:$G$110,6,FALSE)</f>
        <v>0.61</v>
      </c>
      <c r="F18" s="98">
        <f>Revenue2[[#This Row],[Column3]]/Revenue2[[#This Row],[Column6]]</f>
        <v>21.541069284553995</v>
      </c>
      <c r="G18" s="98">
        <v>1.0979125850653746</v>
      </c>
      <c r="H18" s="98">
        <v>2.8317999999999999E-2</v>
      </c>
      <c r="I18" s="98" t="s">
        <v>107</v>
      </c>
      <c r="J18" s="98">
        <v>55.588540000000002</v>
      </c>
      <c r="K18" s="98">
        <v>55.806719999999999</v>
      </c>
      <c r="L18" s="98">
        <v>0.57589999999999997</v>
      </c>
      <c r="M18" s="98">
        <v>0.59919999999999995</v>
      </c>
      <c r="N18" s="89">
        <v>0.36</v>
      </c>
      <c r="O18" s="89">
        <v>0.82</v>
      </c>
      <c r="P18" s="99">
        <f>(Revenue2[[#This Row],[Column3]]/0.62)-1</f>
        <v>-1.6129032258064502E-2</v>
      </c>
      <c r="Q18" s="98">
        <v>0.03</v>
      </c>
      <c r="R18" s="100">
        <f>Revenue2[[#This Row],[Column15]]/Revenue2[[#This Row],[Column3]]</f>
        <v>4.9180327868852458E-2</v>
      </c>
      <c r="S18" s="98" t="s">
        <v>127</v>
      </c>
      <c r="AU18" s="37"/>
      <c r="AV18" s="37"/>
      <c r="AW18" s="37"/>
      <c r="AX18" s="37"/>
      <c r="AY18" s="37"/>
    </row>
    <row r="19" spans="1:51" s="39" customFormat="1" ht="39.950000000000003" customHeight="1">
      <c r="A19" s="37"/>
      <c r="B19" s="37"/>
      <c r="C19" s="103" t="s">
        <v>81</v>
      </c>
      <c r="D19" s="101"/>
      <c r="E19" s="97">
        <f>VLOOKUP(C19,'Pricelist _ Sep.30.2020'!$B$6:$G$110,6,FALSE)</f>
        <v>1.25</v>
      </c>
      <c r="F19" s="98">
        <f>Revenue2[[#This Row],[Column3]]/Revenue2[[#This Row],[Column6]]</f>
        <v>3.5714285714285716</v>
      </c>
      <c r="G19" s="98">
        <v>0.53099098100001507</v>
      </c>
      <c r="H19" s="98">
        <v>0.35</v>
      </c>
      <c r="I19" s="98" t="s">
        <v>107</v>
      </c>
      <c r="J19" s="98">
        <v>43.151760000000003</v>
      </c>
      <c r="K19" s="98">
        <v>52.217709999999997</v>
      </c>
      <c r="L19" s="98">
        <v>1.3819999999999999</v>
      </c>
      <c r="M19" s="98">
        <v>1.256</v>
      </c>
      <c r="N19" s="89">
        <v>0.85</v>
      </c>
      <c r="O19" s="89">
        <v>1.99</v>
      </c>
      <c r="P19" s="99">
        <f>(Revenue2[[#This Row],[Column3]]/1.15)-1</f>
        <v>8.6956521739130599E-2</v>
      </c>
      <c r="Q19" s="98">
        <v>0.2</v>
      </c>
      <c r="R19" s="100">
        <f>Revenue2[[#This Row],[Column15]]/Revenue2[[#This Row],[Column3]]</f>
        <v>0.16</v>
      </c>
      <c r="S19" s="98" t="s">
        <v>127</v>
      </c>
      <c r="AU19" s="37"/>
      <c r="AV19" s="37"/>
      <c r="AW19" s="37"/>
      <c r="AX19" s="37"/>
      <c r="AY19" s="37"/>
    </row>
    <row r="20" spans="1:51" s="39" customFormat="1" ht="39.950000000000003" customHeight="1">
      <c r="A20" s="37"/>
      <c r="B20" s="37"/>
      <c r="C20" s="103" t="s">
        <v>18</v>
      </c>
      <c r="D20" s="101"/>
      <c r="E20" s="97">
        <f>VLOOKUP(C20,'Pricelist _ Sep.30.2020'!$B$6:$G$110,6,FALSE)</f>
        <v>40.5</v>
      </c>
      <c r="F20" s="98">
        <f>Revenue2[[#This Row],[Column3]]/Revenue2[[#This Row],[Column6]]</f>
        <v>5.8526011560693645</v>
      </c>
      <c r="G20" s="98">
        <v>1.2046175049950094</v>
      </c>
      <c r="H20" s="98">
        <v>6.92</v>
      </c>
      <c r="I20" s="98" t="s">
        <v>107</v>
      </c>
      <c r="J20" s="98">
        <v>74.383920000000003</v>
      </c>
      <c r="K20" s="98">
        <v>25.122070000000001</v>
      </c>
      <c r="L20" s="98">
        <v>30.565000000000001</v>
      </c>
      <c r="M20" s="98">
        <v>33.699750000000002</v>
      </c>
      <c r="N20" s="89">
        <v>23.5</v>
      </c>
      <c r="O20" s="89">
        <v>42.85</v>
      </c>
      <c r="P20" s="99">
        <f>(Revenue2[[#This Row],[Column3]]/41)-1</f>
        <v>-1.2195121951219523E-2</v>
      </c>
      <c r="Q20" s="98">
        <v>3</v>
      </c>
      <c r="R20" s="100">
        <f>Revenue2[[#This Row],[Column15]]/Revenue2[[#This Row],[Column3]]</f>
        <v>7.407407407407407E-2</v>
      </c>
      <c r="S20" s="98" t="s">
        <v>127</v>
      </c>
      <c r="AU20" s="37"/>
      <c r="AV20" s="37"/>
      <c r="AW20" s="37"/>
      <c r="AX20" s="37"/>
      <c r="AY20" s="37"/>
    </row>
    <row r="21" spans="1:51" s="39" customFormat="1" ht="39.950000000000003" customHeight="1">
      <c r="A21" s="37"/>
      <c r="B21" s="37"/>
      <c r="C21" s="103" t="s">
        <v>19</v>
      </c>
      <c r="D21" s="101"/>
      <c r="E21" s="97">
        <f>VLOOKUP(C21,'Pricelist _ Sep.30.2020'!$B$6:$G$110,6,FALSE)</f>
        <v>1.28</v>
      </c>
      <c r="F21" s="98">
        <f>Revenue2[[#This Row],[Column3]]/Revenue2[[#This Row],[Column6]]</f>
        <v>3.4594594594594597</v>
      </c>
      <c r="G21" s="98">
        <v>0.26843796618571675</v>
      </c>
      <c r="H21" s="98">
        <v>0.37</v>
      </c>
      <c r="I21" s="98" t="s">
        <v>107</v>
      </c>
      <c r="J21" s="98">
        <v>45.648110000000003</v>
      </c>
      <c r="K21" s="98">
        <v>34.494480000000003</v>
      </c>
      <c r="L21" s="98">
        <v>1.2551000000000001</v>
      </c>
      <c r="M21" s="98">
        <v>1.498</v>
      </c>
      <c r="N21" s="89">
        <v>0.99</v>
      </c>
      <c r="O21" s="89">
        <v>2.5</v>
      </c>
      <c r="P21" s="99">
        <f>(Revenue2[[#This Row],[Column3]]/1.99)-1</f>
        <v>-0.35678391959798994</v>
      </c>
      <c r="Q21" s="98">
        <v>0.03</v>
      </c>
      <c r="R21" s="100">
        <f>Revenue2[[#This Row],[Column15]]/Revenue2[[#This Row],[Column3]]</f>
        <v>2.34375E-2</v>
      </c>
      <c r="S21" s="98" t="s">
        <v>127</v>
      </c>
      <c r="AU21" s="37"/>
      <c r="AV21" s="37"/>
      <c r="AW21" s="37"/>
      <c r="AX21" s="37"/>
      <c r="AY21" s="37"/>
    </row>
    <row r="22" spans="1:51" s="39" customFormat="1" ht="39.950000000000003" customHeight="1">
      <c r="A22" s="37"/>
      <c r="B22" s="37"/>
      <c r="C22" s="103" t="s">
        <v>23</v>
      </c>
      <c r="D22" s="101"/>
      <c r="E22" s="97">
        <f>VLOOKUP(C22,'Pricelist _ Sep.30.2020'!$B$6:$G$110,6,FALSE)</f>
        <v>6.2</v>
      </c>
      <c r="F22" s="98">
        <f>Revenue2[[#This Row],[Column3]]/Revenue2[[#This Row],[Column6]]</f>
        <v>2.4603174603174605</v>
      </c>
      <c r="G22" s="98">
        <v>0.39161836977694497</v>
      </c>
      <c r="H22" s="98">
        <v>2.52</v>
      </c>
      <c r="I22" s="98" t="s">
        <v>107</v>
      </c>
      <c r="J22" s="98">
        <v>50.534230000000001</v>
      </c>
      <c r="K22" s="98">
        <v>18.645579999999999</v>
      </c>
      <c r="L22" s="98">
        <v>6.242</v>
      </c>
      <c r="M22" s="98">
        <v>6.6717500000000003</v>
      </c>
      <c r="N22" s="89">
        <v>4.4000000000000004</v>
      </c>
      <c r="O22" s="89">
        <v>9.25</v>
      </c>
      <c r="P22" s="99">
        <f>(Revenue2[[#This Row],[Column3]]/7.15)-1</f>
        <v>-0.13286713286713292</v>
      </c>
      <c r="Q22" s="98">
        <v>1</v>
      </c>
      <c r="R22" s="100">
        <f>Revenue2[[#This Row],[Column15]]/Revenue2[[#This Row],[Column3]]</f>
        <v>0.16129032258064516</v>
      </c>
      <c r="S22" s="98" t="s">
        <v>127</v>
      </c>
      <c r="AU22" s="37"/>
      <c r="AV22" s="37"/>
      <c r="AW22" s="37"/>
      <c r="AX22" s="37"/>
      <c r="AY22" s="37"/>
    </row>
    <row r="23" spans="1:51" s="39" customFormat="1" ht="39.950000000000003" customHeight="1">
      <c r="A23" s="37"/>
      <c r="B23" s="37"/>
      <c r="C23" s="103" t="s">
        <v>24</v>
      </c>
      <c r="D23" s="101"/>
      <c r="E23" s="97">
        <f>VLOOKUP(C23,'Pricelist _ Sep.30.2020'!$B$6:$G$110,6,FALSE)</f>
        <v>5</v>
      </c>
      <c r="F23" s="98">
        <f>Revenue2[[#This Row],[Column3]]/Revenue2[[#This Row],[Column6]]</f>
        <v>7.4257903639973923</v>
      </c>
      <c r="G23" s="98">
        <v>0.62726039757428043</v>
      </c>
      <c r="H23" s="98">
        <v>0.67332899999999996</v>
      </c>
      <c r="I23" s="98" t="s">
        <v>107</v>
      </c>
      <c r="J23" s="98">
        <v>39.295400000000001</v>
      </c>
      <c r="K23" s="98">
        <v>33.280659999999997</v>
      </c>
      <c r="L23" s="98">
        <v>6.0625</v>
      </c>
      <c r="M23" s="98">
        <v>6.36</v>
      </c>
      <c r="N23" s="89">
        <v>4.9000000000000004</v>
      </c>
      <c r="O23" s="89">
        <v>7.6</v>
      </c>
      <c r="P23" s="99">
        <f>(Revenue2[[#This Row],[Column3]]/6)-1</f>
        <v>-0.16666666666666663</v>
      </c>
      <c r="Q23" s="98">
        <v>0.25</v>
      </c>
      <c r="R23" s="100">
        <f>Revenue2[[#This Row],[Column15]]/Revenue2[[#This Row],[Column3]]</f>
        <v>0.05</v>
      </c>
      <c r="S23" s="98" t="s">
        <v>127</v>
      </c>
      <c r="AU23" s="37"/>
      <c r="AV23" s="37"/>
      <c r="AW23" s="37"/>
      <c r="AX23" s="37"/>
      <c r="AY23" s="37"/>
    </row>
    <row r="24" spans="1:51" s="39" customFormat="1" ht="39.950000000000003" customHeight="1">
      <c r="A24" s="37"/>
      <c r="B24" s="37"/>
      <c r="C24" s="103" t="s">
        <v>27</v>
      </c>
      <c r="D24" s="101"/>
      <c r="E24" s="97">
        <f>VLOOKUP(C24,'Pricelist _ Sep.30.2020'!$B$6:$G$110,6,FALSE)</f>
        <v>17.850000000000001</v>
      </c>
      <c r="F24" s="98">
        <f>Revenue2[[#This Row],[Column3]]/Revenue2[[#This Row],[Column6]]</f>
        <v>2.6842105263157894</v>
      </c>
      <c r="G24" s="98">
        <v>0.57184990981828543</v>
      </c>
      <c r="H24" s="98">
        <v>6.65</v>
      </c>
      <c r="I24" s="98" t="s">
        <v>107</v>
      </c>
      <c r="J24" s="98">
        <v>54.498779999999996</v>
      </c>
      <c r="K24" s="98">
        <v>19.230090000000001</v>
      </c>
      <c r="L24" s="98">
        <v>15.688499999999999</v>
      </c>
      <c r="M24" s="98">
        <v>17.024750000000001</v>
      </c>
      <c r="N24" s="89">
        <v>10.7</v>
      </c>
      <c r="O24" s="89">
        <v>23</v>
      </c>
      <c r="P24" s="99">
        <f>(Revenue2[[#This Row],[Column3]]/18.6)-1</f>
        <v>-4.0322580645161255E-2</v>
      </c>
      <c r="Q24" s="98">
        <v>2.8</v>
      </c>
      <c r="R24" s="100">
        <f>Revenue2[[#This Row],[Column15]]/Revenue2[[#This Row],[Column3]]</f>
        <v>0.15686274509803919</v>
      </c>
      <c r="S24" s="98" t="s">
        <v>127</v>
      </c>
      <c r="AU24" s="37"/>
      <c r="AV24" s="37"/>
      <c r="AW24" s="37"/>
      <c r="AX24" s="37"/>
      <c r="AY24" s="37"/>
    </row>
    <row r="25" spans="1:51" s="39" customFormat="1" ht="42" customHeight="1">
      <c r="A25" s="37"/>
      <c r="B25" s="37"/>
      <c r="C25" s="107"/>
      <c r="D25" s="63"/>
      <c r="E25" s="82"/>
      <c r="F25" s="83"/>
      <c r="G25" s="83"/>
      <c r="H25" s="84"/>
      <c r="I25" s="63"/>
      <c r="J25" s="83"/>
      <c r="K25" s="83"/>
      <c r="L25" s="83"/>
      <c r="M25" s="83"/>
      <c r="N25" s="85"/>
      <c r="O25" s="86"/>
      <c r="P25" s="86"/>
      <c r="Q25" s="85"/>
      <c r="R25" s="87"/>
      <c r="S25" s="88"/>
      <c r="AU25" s="37"/>
      <c r="AV25" s="37"/>
      <c r="AW25" s="37"/>
      <c r="AX25" s="37"/>
      <c r="AY25" s="37"/>
    </row>
    <row r="26" spans="1:51" s="39" customFormat="1" ht="36" customHeight="1">
      <c r="A26" s="37"/>
      <c r="B26" s="46"/>
      <c r="C26" s="108" t="s">
        <v>108</v>
      </c>
      <c r="D26" s="78"/>
      <c r="E26" s="89" t="s">
        <v>85</v>
      </c>
      <c r="F26" s="89" t="s">
        <v>114</v>
      </c>
      <c r="G26" s="89" t="s">
        <v>133</v>
      </c>
      <c r="H26" s="89" t="s">
        <v>87</v>
      </c>
      <c r="I26" s="89" t="s">
        <v>88</v>
      </c>
      <c r="J26" s="90" t="s">
        <v>140</v>
      </c>
      <c r="K26" s="89" t="s">
        <v>134</v>
      </c>
      <c r="L26" s="89" t="s">
        <v>135</v>
      </c>
      <c r="M26" s="89" t="s">
        <v>136</v>
      </c>
      <c r="N26" s="90" t="s">
        <v>164</v>
      </c>
      <c r="O26" s="90" t="s">
        <v>165</v>
      </c>
      <c r="P26" s="90" t="s">
        <v>115</v>
      </c>
      <c r="Q26" s="89" t="s">
        <v>137</v>
      </c>
      <c r="R26" s="89" t="s">
        <v>138</v>
      </c>
      <c r="S26" s="89" t="s">
        <v>139</v>
      </c>
      <c r="AU26" s="37"/>
      <c r="AV26" s="37"/>
      <c r="AW26" s="37"/>
      <c r="AX26" s="37"/>
      <c r="AY26" s="37"/>
    </row>
    <row r="27" spans="1:51" s="39" customFormat="1" ht="39.950000000000003" customHeight="1">
      <c r="A27" s="37"/>
      <c r="B27" s="46"/>
      <c r="C27" s="102" t="s">
        <v>3</v>
      </c>
      <c r="D27" s="95"/>
      <c r="E27" s="97">
        <f>VLOOKUP(C27,'Pricelist _ Sep.30.2020'!$B$6:$G$110,6,FALSE)</f>
        <v>7</v>
      </c>
      <c r="F27" s="98">
        <f>E27/H27</f>
        <v>12.280701754385966</v>
      </c>
      <c r="G27" s="98">
        <v>1.1035148721009553</v>
      </c>
      <c r="H27" s="98">
        <v>0.56999999999999995</v>
      </c>
      <c r="I27" s="98">
        <v>2.2105130855360908</v>
      </c>
      <c r="J27" s="98">
        <v>55.985219999999998</v>
      </c>
      <c r="K27" s="98">
        <v>46.530799999999999</v>
      </c>
      <c r="L27" s="98">
        <v>7.3155000000000001</v>
      </c>
      <c r="M27" s="98">
        <v>8.1835000000000004</v>
      </c>
      <c r="N27" s="89">
        <v>4.95</v>
      </c>
      <c r="O27" s="89">
        <v>11.65</v>
      </c>
      <c r="P27" s="99">
        <f>(E27/10.55)-1</f>
        <v>-0.3364928909952607</v>
      </c>
      <c r="Q27" s="98">
        <v>0.49</v>
      </c>
      <c r="R27" s="100">
        <f>Q27/E27</f>
        <v>6.9999999999999993E-2</v>
      </c>
      <c r="S27" s="98" t="s">
        <v>127</v>
      </c>
      <c r="AU27" s="37"/>
      <c r="AV27" s="37"/>
      <c r="AW27" s="37"/>
      <c r="AX27" s="37"/>
      <c r="AY27" s="37"/>
    </row>
    <row r="28" spans="1:51" s="39" customFormat="1" ht="39.950000000000003" customHeight="1">
      <c r="A28" s="37"/>
      <c r="B28" s="37"/>
      <c r="C28" s="103" t="s">
        <v>75</v>
      </c>
      <c r="D28" s="95"/>
      <c r="E28" s="97">
        <f>VLOOKUP(C28,'Pricelist _ Sep.30.2020'!$B$6:$G$110,6,FALSE)</f>
        <v>0.89</v>
      </c>
      <c r="F28" s="98">
        <f t="shared" ref="F28:F29" si="0">E28/H28</f>
        <v>44.5</v>
      </c>
      <c r="G28" s="98">
        <v>0.89121912141121273</v>
      </c>
      <c r="H28" s="98">
        <v>0.02</v>
      </c>
      <c r="I28" s="98">
        <v>4.4096766002519869</v>
      </c>
      <c r="J28" s="98">
        <v>56.774380000000001</v>
      </c>
      <c r="K28" s="98">
        <v>67.877579999999995</v>
      </c>
      <c r="L28" s="98">
        <v>0.86650000000000005</v>
      </c>
      <c r="M28" s="98">
        <v>0.88775000000000004</v>
      </c>
      <c r="N28" s="89">
        <v>0.69</v>
      </c>
      <c r="O28" s="89">
        <v>1.53</v>
      </c>
      <c r="P28" s="99">
        <f>(E28/0.95)-1</f>
        <v>-6.315789473684208E-2</v>
      </c>
      <c r="Q28" s="98" t="s">
        <v>107</v>
      </c>
      <c r="R28" s="100" t="s">
        <v>107</v>
      </c>
      <c r="S28" s="98" t="s">
        <v>127</v>
      </c>
      <c r="AU28" s="37"/>
      <c r="AV28" s="37"/>
      <c r="AW28" s="37"/>
      <c r="AX28" s="37"/>
      <c r="AY28" s="37"/>
    </row>
    <row r="29" spans="1:51" s="39" customFormat="1" ht="39.950000000000003" customHeight="1">
      <c r="A29" s="37"/>
      <c r="B29" s="37"/>
      <c r="C29" s="103" t="s">
        <v>5</v>
      </c>
      <c r="D29" s="95"/>
      <c r="E29" s="97">
        <f>VLOOKUP(C29,'Pricelist _ Sep.30.2020'!$B$6:$G$110,6,FALSE)</f>
        <v>12.4</v>
      </c>
      <c r="F29" s="98">
        <f t="shared" si="0"/>
        <v>6.6285489464883662</v>
      </c>
      <c r="G29" s="98">
        <v>1.2483227016046778</v>
      </c>
      <c r="H29" s="98">
        <v>1.8706959999999999</v>
      </c>
      <c r="I29" s="98">
        <v>2.1648995857008999</v>
      </c>
      <c r="J29" s="98">
        <v>53.321210000000001</v>
      </c>
      <c r="K29" s="98">
        <v>22.759350000000001</v>
      </c>
      <c r="L29" s="98">
        <v>12.336</v>
      </c>
      <c r="M29" s="98">
        <v>12.58975</v>
      </c>
      <c r="N29" s="89">
        <v>8.5</v>
      </c>
      <c r="O29" s="89">
        <v>16.600000000000001</v>
      </c>
      <c r="P29" s="99">
        <f>(E29/13.6)-1</f>
        <v>-8.8235294117646967E-2</v>
      </c>
      <c r="Q29" s="98">
        <v>1.1000000000000001</v>
      </c>
      <c r="R29" s="100">
        <f>Q29/E29</f>
        <v>8.8709677419354843E-2</v>
      </c>
      <c r="S29" s="98" t="s">
        <v>127</v>
      </c>
      <c r="AU29" s="37"/>
      <c r="AV29" s="37"/>
      <c r="AW29" s="37"/>
      <c r="AX29" s="37"/>
      <c r="AY29" s="37"/>
    </row>
    <row r="30" spans="1:51" s="39" customFormat="1" ht="39.950000000000003" customHeight="1">
      <c r="A30" s="37"/>
      <c r="B30" s="37"/>
      <c r="C30" s="103" t="s">
        <v>10</v>
      </c>
      <c r="D30" s="95"/>
      <c r="E30" s="97">
        <f>VLOOKUP(C30,'Pricelist _ Sep.30.2020'!$B$6:$G$110,6,FALSE)</f>
        <v>21.65</v>
      </c>
      <c r="F30" s="98">
        <f>E30/H30</f>
        <v>8.4901960784313726</v>
      </c>
      <c r="G30" s="98">
        <v>0.50303870059212596</v>
      </c>
      <c r="H30" s="98">
        <v>2.5499999999999998</v>
      </c>
      <c r="I30" s="98" t="s">
        <v>107</v>
      </c>
      <c r="J30" s="98">
        <v>48.81888</v>
      </c>
      <c r="K30" s="98">
        <v>39.377090000000003</v>
      </c>
      <c r="L30" s="98">
        <v>19.706</v>
      </c>
      <c r="M30" s="98">
        <v>20.158750000000001</v>
      </c>
      <c r="N30" s="89">
        <v>13</v>
      </c>
      <c r="O30" s="89">
        <v>24</v>
      </c>
      <c r="P30" s="99">
        <f>(E30/19.7)-1</f>
        <v>9.898477157360408E-2</v>
      </c>
      <c r="Q30" s="98">
        <v>1.4</v>
      </c>
      <c r="R30" s="100">
        <f>Q30/E30</f>
        <v>6.4665127020785224E-2</v>
      </c>
      <c r="S30" s="98" t="s">
        <v>128</v>
      </c>
      <c r="AU30" s="37"/>
      <c r="AV30" s="37"/>
      <c r="AW30" s="37"/>
      <c r="AX30" s="37"/>
      <c r="AY30" s="37"/>
    </row>
    <row r="31" spans="1:51" s="39" customFormat="1" ht="39.950000000000003" customHeight="1">
      <c r="A31" s="37"/>
      <c r="B31" s="37"/>
      <c r="C31" s="103" t="s">
        <v>12</v>
      </c>
      <c r="D31" s="95"/>
      <c r="E31" s="97">
        <f>VLOOKUP(C31,'Pricelist _ Sep.30.2020'!$B$6:$G$110,6,FALSE)</f>
        <v>14</v>
      </c>
      <c r="F31" s="98" t="s">
        <v>107</v>
      </c>
      <c r="G31" s="98">
        <v>0.35587193640706793</v>
      </c>
      <c r="H31" s="98">
        <v>-5.74</v>
      </c>
      <c r="I31" s="98">
        <v>3.988345544248582</v>
      </c>
      <c r="J31" s="98">
        <v>49.269889999999997</v>
      </c>
      <c r="K31" s="98">
        <v>47.356740000000002</v>
      </c>
      <c r="L31" s="98">
        <v>17.041</v>
      </c>
      <c r="M31" s="98">
        <v>22.707000000000001</v>
      </c>
      <c r="N31" s="89">
        <v>12.85</v>
      </c>
      <c r="O31" s="89">
        <v>41.4</v>
      </c>
      <c r="P31" s="99">
        <f>(E31/30.05)-1</f>
        <v>-0.53410981697171378</v>
      </c>
      <c r="Q31" s="98">
        <v>1.52</v>
      </c>
      <c r="R31" s="100">
        <f>Q31/E31</f>
        <v>0.10857142857142857</v>
      </c>
      <c r="S31" s="98" t="s">
        <v>131</v>
      </c>
      <c r="AU31" s="37"/>
      <c r="AV31" s="37"/>
      <c r="AW31" s="37"/>
      <c r="AX31" s="37"/>
      <c r="AY31" s="37"/>
    </row>
    <row r="32" spans="1:51" s="39" customFormat="1" ht="39.950000000000003" customHeight="1">
      <c r="A32" s="37"/>
      <c r="B32" s="37"/>
      <c r="C32" s="103" t="s">
        <v>51</v>
      </c>
      <c r="D32" s="95"/>
      <c r="E32" s="97">
        <f>VLOOKUP(C32,'Pricelist _ Sep.30.2020'!$B$6:$G$110,6,FALSE)</f>
        <v>3.9</v>
      </c>
      <c r="F32" s="98" t="s">
        <v>107</v>
      </c>
      <c r="G32" s="98">
        <v>0.60384933733143809</v>
      </c>
      <c r="H32" s="98">
        <v>-3.23</v>
      </c>
      <c r="I32" s="98" t="s">
        <v>107</v>
      </c>
      <c r="J32" s="98">
        <v>47.322279999999999</v>
      </c>
      <c r="K32" s="98">
        <v>64.153880000000001</v>
      </c>
      <c r="L32" s="98">
        <v>4.2655000000000003</v>
      </c>
      <c r="M32" s="98">
        <v>6.3129999999999997</v>
      </c>
      <c r="N32" s="89">
        <v>2.7</v>
      </c>
      <c r="O32" s="89">
        <v>12.24292</v>
      </c>
      <c r="P32" s="99">
        <f>(E32/9.5)-1</f>
        <v>-0.58947368421052637</v>
      </c>
      <c r="Q32" s="98" t="s">
        <v>107</v>
      </c>
      <c r="R32" s="100" t="s">
        <v>107</v>
      </c>
      <c r="S32" s="98" t="s">
        <v>127</v>
      </c>
      <c r="AU32" s="37"/>
      <c r="AV32" s="37"/>
      <c r="AW32" s="37"/>
      <c r="AX32" s="37"/>
      <c r="AY32" s="37"/>
    </row>
    <row r="33" spans="1:51" s="39" customFormat="1" ht="39.950000000000003" customHeight="1">
      <c r="A33" s="37"/>
      <c r="B33" s="37"/>
      <c r="C33" s="103" t="s">
        <v>13</v>
      </c>
      <c r="D33" s="95"/>
      <c r="E33" s="97">
        <f>VLOOKUP(C33,'Pricelist _ Sep.30.2020'!$B$6:$G$110,6,FALSE)</f>
        <v>10.4</v>
      </c>
      <c r="F33" s="98">
        <f>E33/H33</f>
        <v>14.194774139305331</v>
      </c>
      <c r="G33" s="98">
        <v>2.1170594797175406</v>
      </c>
      <c r="H33" s="98">
        <v>0.73266399999999998</v>
      </c>
      <c r="I33" s="98">
        <v>4.7909032028995595</v>
      </c>
      <c r="J33" s="98">
        <v>46.891179999999999</v>
      </c>
      <c r="K33" s="98">
        <v>12.98916</v>
      </c>
      <c r="L33" s="98">
        <v>10.1555</v>
      </c>
      <c r="M33" s="98">
        <v>11.68375</v>
      </c>
      <c r="N33" s="89">
        <v>8.5</v>
      </c>
      <c r="O33" s="89">
        <v>15.7</v>
      </c>
      <c r="P33" s="99">
        <f>(E33/12.95)-1</f>
        <v>-0.19691119691119685</v>
      </c>
      <c r="Q33" s="98">
        <v>0.4</v>
      </c>
      <c r="R33" s="100">
        <f t="shared" ref="R33:R38" si="1">Q33/E33</f>
        <v>3.8461538461538464E-2</v>
      </c>
      <c r="S33" s="98" t="s">
        <v>127</v>
      </c>
      <c r="AU33" s="37"/>
      <c r="AV33" s="37"/>
      <c r="AW33" s="37"/>
      <c r="AX33" s="37"/>
      <c r="AY33" s="37"/>
    </row>
    <row r="34" spans="1:51" s="39" customFormat="1" ht="39.950000000000003" customHeight="1">
      <c r="A34" s="37"/>
      <c r="B34" s="37"/>
      <c r="C34" s="103" t="s">
        <v>14</v>
      </c>
      <c r="D34" s="95"/>
      <c r="E34" s="97">
        <f>VLOOKUP(C34,'Pricelist _ Sep.30.2020'!$B$6:$G$110,6,FALSE)</f>
        <v>49</v>
      </c>
      <c r="F34" s="98">
        <f>E34/H34</f>
        <v>24.378109452736322</v>
      </c>
      <c r="G34" s="98">
        <v>1.7082992429498949</v>
      </c>
      <c r="H34" s="98">
        <v>2.0099999999999998</v>
      </c>
      <c r="I34" s="98">
        <v>4.2471805293394658</v>
      </c>
      <c r="J34" s="98">
        <v>58.02196</v>
      </c>
      <c r="K34" s="98">
        <v>31.512280000000001</v>
      </c>
      <c r="L34" s="98">
        <v>34.39</v>
      </c>
      <c r="M34" s="98">
        <v>41.061500000000002</v>
      </c>
      <c r="N34" s="89">
        <v>22</v>
      </c>
      <c r="O34" s="89">
        <v>59.75</v>
      </c>
      <c r="P34" s="99">
        <f>(E34/59)-1</f>
        <v>-0.16949152542372881</v>
      </c>
      <c r="Q34" s="98">
        <v>2.0099999999999998</v>
      </c>
      <c r="R34" s="100">
        <f t="shared" si="1"/>
        <v>4.1020408163265298E-2</v>
      </c>
      <c r="S34" s="98" t="s">
        <v>127</v>
      </c>
      <c r="AU34" s="37"/>
      <c r="AV34" s="37"/>
      <c r="AW34" s="37"/>
      <c r="AX34" s="37"/>
      <c r="AY34" s="37"/>
    </row>
    <row r="35" spans="1:51" s="39" customFormat="1" ht="39.950000000000003" customHeight="1">
      <c r="A35" s="37"/>
      <c r="B35" s="37"/>
      <c r="C35" s="103" t="s">
        <v>15</v>
      </c>
      <c r="D35" s="95"/>
      <c r="E35" s="97">
        <f>VLOOKUP(C35,'Pricelist _ Sep.30.2020'!$B$6:$G$110,6,FALSE)</f>
        <v>1175</v>
      </c>
      <c r="F35" s="98">
        <f>E35/H35</f>
        <v>20.388686448030537</v>
      </c>
      <c r="G35" s="98">
        <v>29.409092127929416</v>
      </c>
      <c r="H35" s="98">
        <v>57.63</v>
      </c>
      <c r="I35" s="98">
        <v>13.269637617060521</v>
      </c>
      <c r="J35" s="98">
        <v>63.052149999999997</v>
      </c>
      <c r="K35" s="98">
        <v>0</v>
      </c>
      <c r="L35" s="98">
        <v>1059.55</v>
      </c>
      <c r="M35" s="98">
        <v>1143.5889999999999</v>
      </c>
      <c r="N35" s="89">
        <v>750</v>
      </c>
      <c r="O35" s="89">
        <v>1469.9</v>
      </c>
      <c r="P35" s="99">
        <f>(E35/1469.9)-1</f>
        <v>-0.20062589291788557</v>
      </c>
      <c r="Q35" s="98">
        <v>70</v>
      </c>
      <c r="R35" s="100">
        <f t="shared" si="1"/>
        <v>5.9574468085106386E-2</v>
      </c>
      <c r="S35" s="98" t="s">
        <v>127</v>
      </c>
      <c r="AU35" s="37"/>
      <c r="AV35" s="37"/>
      <c r="AW35" s="37"/>
      <c r="AX35" s="37"/>
      <c r="AY35" s="37"/>
    </row>
    <row r="36" spans="1:51" s="39" customFormat="1" ht="39.950000000000003" customHeight="1">
      <c r="A36" s="37"/>
      <c r="B36" s="37"/>
      <c r="C36" s="103" t="s">
        <v>17</v>
      </c>
      <c r="D36" s="95"/>
      <c r="E36" s="97">
        <f>VLOOKUP(C36,'Pricelist _ Sep.30.2020'!$B$6:$G$110,6,FALSE)</f>
        <v>4</v>
      </c>
      <c r="F36" s="98">
        <f>E36/H36</f>
        <v>16</v>
      </c>
      <c r="G36" s="98">
        <v>0.42846888450760134</v>
      </c>
      <c r="H36" s="98">
        <v>0.25</v>
      </c>
      <c r="I36" s="98" t="s">
        <v>107</v>
      </c>
      <c r="J36" s="98">
        <v>48.052860000000003</v>
      </c>
      <c r="K36" s="98">
        <v>51.148069999999997</v>
      </c>
      <c r="L36" s="98">
        <v>4.3979999999999997</v>
      </c>
      <c r="M36" s="98">
        <v>4.7612500000000004</v>
      </c>
      <c r="N36" s="89">
        <v>3.75</v>
      </c>
      <c r="O36" s="89">
        <v>7.1</v>
      </c>
      <c r="P36" s="99">
        <f>(E36/5.65)-1</f>
        <v>-0.29203539823008851</v>
      </c>
      <c r="Q36" s="98">
        <v>0.15</v>
      </c>
      <c r="R36" s="100">
        <f t="shared" si="1"/>
        <v>3.7499999999999999E-2</v>
      </c>
      <c r="S36" s="98" t="s">
        <v>130</v>
      </c>
      <c r="AU36" s="37"/>
      <c r="AV36" s="37"/>
      <c r="AW36" s="37"/>
      <c r="AX36" s="37"/>
      <c r="AY36" s="37"/>
    </row>
    <row r="37" spans="1:51" s="39" customFormat="1" ht="39.950000000000003" customHeight="1">
      <c r="A37" s="37"/>
      <c r="B37" s="37"/>
      <c r="C37" s="103" t="s">
        <v>21</v>
      </c>
      <c r="D37" s="95"/>
      <c r="E37" s="97">
        <f>VLOOKUP(C37,'Pricelist _ Sep.30.2020'!$B$6:$G$110,6,FALSE)</f>
        <v>0.57999999999999996</v>
      </c>
      <c r="F37" s="98">
        <f>E37/H37</f>
        <v>9.7807757166947713</v>
      </c>
      <c r="G37" s="98">
        <v>0.35610441258799325</v>
      </c>
      <c r="H37" s="98">
        <v>5.9299999999999999E-2</v>
      </c>
      <c r="I37" s="98" t="s">
        <v>107</v>
      </c>
      <c r="J37" s="98">
        <v>43.060609999999997</v>
      </c>
      <c r="K37" s="98">
        <v>49.65822</v>
      </c>
      <c r="L37" s="98">
        <v>0.6714</v>
      </c>
      <c r="M37" s="98">
        <v>0.80694999999999995</v>
      </c>
      <c r="N37" s="89">
        <v>0.51</v>
      </c>
      <c r="O37" s="89">
        <v>1.18</v>
      </c>
      <c r="P37" s="99">
        <f>(E37/0.99)-1</f>
        <v>-0.41414141414141414</v>
      </c>
      <c r="Q37" s="98">
        <v>0.01</v>
      </c>
      <c r="R37" s="100">
        <f t="shared" si="1"/>
        <v>1.7241379310344831E-2</v>
      </c>
      <c r="S37" s="98" t="s">
        <v>127</v>
      </c>
      <c r="AU37" s="37"/>
      <c r="AV37" s="37"/>
      <c r="AW37" s="37"/>
      <c r="AX37" s="37"/>
      <c r="AY37" s="37"/>
    </row>
    <row r="38" spans="1:51" s="39" customFormat="1" ht="39.950000000000003" customHeight="1">
      <c r="A38" s="37"/>
      <c r="B38" s="37"/>
      <c r="C38" s="103" t="s">
        <v>22</v>
      </c>
      <c r="D38" s="95"/>
      <c r="E38" s="97">
        <f>VLOOKUP(C38,'Pricelist _ Sep.30.2020'!$B$6:$G$110,6,FALSE)</f>
        <v>6.95</v>
      </c>
      <c r="F38" s="98" t="s">
        <v>107</v>
      </c>
      <c r="G38" s="98">
        <v>0.3243158416045071</v>
      </c>
      <c r="H38" s="98">
        <v>-1.83</v>
      </c>
      <c r="I38" s="98">
        <v>2.5204216381148434</v>
      </c>
      <c r="J38" s="98">
        <v>39.407710000000002</v>
      </c>
      <c r="K38" s="98">
        <v>65.109949999999998</v>
      </c>
      <c r="L38" s="98">
        <v>7.0724999999999998</v>
      </c>
      <c r="M38" s="98">
        <v>7.7255000000000003</v>
      </c>
      <c r="N38" s="89">
        <v>4.5</v>
      </c>
      <c r="O38" s="89">
        <v>11.15</v>
      </c>
      <c r="P38" s="99">
        <f>(E38/8.6)-1</f>
        <v>-0.19186046511627897</v>
      </c>
      <c r="Q38" s="98">
        <v>0.1</v>
      </c>
      <c r="R38" s="100">
        <f t="shared" si="1"/>
        <v>1.4388489208633094E-2</v>
      </c>
      <c r="S38" s="98" t="s">
        <v>127</v>
      </c>
      <c r="AU38" s="37"/>
      <c r="AV38" s="37"/>
      <c r="AW38" s="37"/>
      <c r="AX38" s="37"/>
      <c r="AY38" s="37"/>
    </row>
    <row r="39" spans="1:51" s="39" customFormat="1" ht="39.950000000000003" customHeight="1">
      <c r="A39" s="37"/>
      <c r="B39" s="37"/>
      <c r="C39" s="103" t="s">
        <v>25</v>
      </c>
      <c r="D39" s="95"/>
      <c r="E39" s="97">
        <f>VLOOKUP(C39,'Pricelist _ Sep.30.2020'!$B$6:$G$110,6,FALSE)</f>
        <v>13.6</v>
      </c>
      <c r="F39" s="98" t="s">
        <v>107</v>
      </c>
      <c r="G39" s="98">
        <v>1.3055002240747</v>
      </c>
      <c r="H39" s="98">
        <v>-1.29</v>
      </c>
      <c r="I39" s="98" t="s">
        <v>107</v>
      </c>
      <c r="J39" s="98">
        <v>59.519109999999998</v>
      </c>
      <c r="K39" s="98">
        <v>58.421199999999999</v>
      </c>
      <c r="L39" s="98">
        <v>13.388999999999999</v>
      </c>
      <c r="M39" s="98">
        <v>14.914999999999999</v>
      </c>
      <c r="N39" s="89">
        <v>9.9</v>
      </c>
      <c r="O39" s="89">
        <v>29.5</v>
      </c>
      <c r="P39" s="99">
        <f>(E39/22)-1</f>
        <v>-0.38181818181818183</v>
      </c>
      <c r="Q39" s="98" t="s">
        <v>107</v>
      </c>
      <c r="R39" s="100" t="s">
        <v>107</v>
      </c>
      <c r="S39" s="98" t="s">
        <v>127</v>
      </c>
      <c r="AU39" s="37"/>
      <c r="AV39" s="37"/>
      <c r="AW39" s="37"/>
      <c r="AX39" s="37"/>
      <c r="AY39" s="37"/>
    </row>
    <row r="40" spans="1:51" s="39" customFormat="1" ht="34.5" customHeight="1">
      <c r="A40" s="37"/>
      <c r="B40" s="37"/>
      <c r="C40" s="91"/>
      <c r="D40" s="92"/>
      <c r="E40" s="63"/>
      <c r="F40" s="63"/>
      <c r="G40" s="63"/>
      <c r="H40" s="63"/>
      <c r="I40" s="63"/>
      <c r="J40" s="63"/>
      <c r="K40" s="63"/>
      <c r="L40" s="63"/>
      <c r="M40" s="63"/>
      <c r="N40" s="63"/>
      <c r="O40" s="93"/>
      <c r="P40" s="94"/>
      <c r="Q40" s="63"/>
      <c r="R40" s="94"/>
      <c r="S40" s="88"/>
      <c r="AU40" s="37"/>
      <c r="AV40" s="37"/>
      <c r="AW40" s="37"/>
      <c r="AX40" s="37"/>
      <c r="AY40" s="37"/>
    </row>
    <row r="41" spans="1:51" s="39" customFormat="1" ht="37.5" customHeight="1">
      <c r="A41" s="37"/>
      <c r="B41" s="37"/>
      <c r="C41" s="104" t="s">
        <v>124</v>
      </c>
      <c r="D41" s="78"/>
      <c r="E41" s="89" t="s">
        <v>85</v>
      </c>
      <c r="F41" s="89" t="s">
        <v>114</v>
      </c>
      <c r="G41" s="89" t="s">
        <v>133</v>
      </c>
      <c r="H41" s="89" t="s">
        <v>87</v>
      </c>
      <c r="I41" s="89" t="s">
        <v>88</v>
      </c>
      <c r="J41" s="90" t="s">
        <v>89</v>
      </c>
      <c r="K41" s="89" t="s">
        <v>134</v>
      </c>
      <c r="L41" s="89" t="s">
        <v>135</v>
      </c>
      <c r="M41" s="89" t="s">
        <v>136</v>
      </c>
      <c r="N41" s="90" t="s">
        <v>164</v>
      </c>
      <c r="O41" s="90" t="s">
        <v>165</v>
      </c>
      <c r="P41" s="90" t="s">
        <v>115</v>
      </c>
      <c r="Q41" s="89" t="s">
        <v>137</v>
      </c>
      <c r="R41" s="89" t="s">
        <v>138</v>
      </c>
      <c r="S41" s="89" t="s">
        <v>139</v>
      </c>
      <c r="AU41" s="37"/>
      <c r="AV41" s="37"/>
      <c r="AW41" s="37"/>
      <c r="AX41" s="37"/>
      <c r="AY41" s="37"/>
    </row>
    <row r="42" spans="1:51" s="39" customFormat="1" ht="39.950000000000003" customHeight="1">
      <c r="A42" s="37"/>
      <c r="B42" s="37"/>
      <c r="C42" s="103" t="s">
        <v>61</v>
      </c>
      <c r="D42" s="95"/>
      <c r="E42" s="97">
        <f>VLOOKUP(C42,'Pricelist _ Sep.30.2020'!$B$6:$G$110,6,FALSE)</f>
        <v>6.5</v>
      </c>
      <c r="F42" s="98">
        <f>E42/H42</f>
        <v>4.193548387096774</v>
      </c>
      <c r="G42" s="98">
        <v>0.57051861444310392</v>
      </c>
      <c r="H42" s="98">
        <v>1.55</v>
      </c>
      <c r="I42" s="98">
        <v>2.6094173593779999</v>
      </c>
      <c r="J42" s="98">
        <v>37.333320000000001</v>
      </c>
      <c r="K42" s="98">
        <v>42.881129999999999</v>
      </c>
      <c r="L42" s="98">
        <v>6.6449999999999996</v>
      </c>
      <c r="M42" s="98">
        <v>6.7147500000000004</v>
      </c>
      <c r="N42" s="89">
        <v>5.5</v>
      </c>
      <c r="O42" s="89">
        <v>7.7</v>
      </c>
      <c r="P42" s="99">
        <f>(E42/6.75)-1</f>
        <v>-3.703703703703709E-2</v>
      </c>
      <c r="Q42" s="98">
        <v>0.25</v>
      </c>
      <c r="R42" s="100">
        <f>Q42/E42</f>
        <v>3.8461538461538464E-2</v>
      </c>
      <c r="S42" s="98" t="s">
        <v>127</v>
      </c>
      <c r="AU42" s="37"/>
      <c r="AV42" s="37"/>
      <c r="AW42" s="37"/>
      <c r="AX42" s="37"/>
      <c r="AY42" s="37"/>
    </row>
    <row r="43" spans="1:51" s="39" customFormat="1" ht="39.950000000000003" customHeight="1">
      <c r="A43" s="37"/>
      <c r="B43" s="37"/>
      <c r="C43" s="103" t="s">
        <v>83</v>
      </c>
      <c r="D43" s="95"/>
      <c r="E43" s="97">
        <f>VLOOKUP(C43,'Pricelist _ Sep.30.2020'!$B$6:$G$110,6,FALSE)</f>
        <v>55.4</v>
      </c>
      <c r="F43" s="98">
        <f t="shared" ref="F43:F50" si="2">E43/H43</f>
        <v>4.9641577060931894</v>
      </c>
      <c r="G43" s="98">
        <v>0.77190657810452024</v>
      </c>
      <c r="H43" s="98">
        <v>11.16</v>
      </c>
      <c r="I43" s="98">
        <v>3.0514097723657128</v>
      </c>
      <c r="J43" s="98">
        <v>1.283379</v>
      </c>
      <c r="K43" s="98">
        <v>31.520510000000002</v>
      </c>
      <c r="L43" s="98">
        <v>66.441500000000005</v>
      </c>
      <c r="M43" s="98">
        <v>64.312250000000006</v>
      </c>
      <c r="N43" s="89">
        <v>48.45</v>
      </c>
      <c r="O43" s="89">
        <v>70</v>
      </c>
      <c r="P43" s="99">
        <f>(E43/53.8)-1</f>
        <v>2.9739776951672958E-2</v>
      </c>
      <c r="Q43" s="98">
        <v>1.67</v>
      </c>
      <c r="R43" s="100">
        <f>Q43/E43</f>
        <v>3.0144404332129962E-2</v>
      </c>
      <c r="S43" s="98" t="s">
        <v>127</v>
      </c>
      <c r="AU43" s="37"/>
      <c r="AV43" s="37"/>
      <c r="AW43" s="37"/>
      <c r="AX43" s="37"/>
      <c r="AY43" s="37"/>
    </row>
    <row r="44" spans="1:51" s="39" customFormat="1" ht="39.950000000000003" customHeight="1">
      <c r="A44" s="37"/>
      <c r="B44" s="37"/>
      <c r="C44" s="103" t="s">
        <v>73</v>
      </c>
      <c r="D44" s="95"/>
      <c r="E44" s="97">
        <f>VLOOKUP(C44,'Pricelist _ Sep.30.2020'!$B$6:$G$110,6,FALSE)</f>
        <v>41.75</v>
      </c>
      <c r="F44" s="98">
        <f t="shared" si="2"/>
        <v>23.324022346368714</v>
      </c>
      <c r="G44" s="98">
        <v>3.7244554084355688</v>
      </c>
      <c r="H44" s="98">
        <v>1.79</v>
      </c>
      <c r="I44" s="98" t="s">
        <v>107</v>
      </c>
      <c r="J44" s="98">
        <v>52.509929999999997</v>
      </c>
      <c r="K44" s="98">
        <v>18.696000000000002</v>
      </c>
      <c r="L44" s="98">
        <v>37.866999999999997</v>
      </c>
      <c r="M44" s="98" t="s">
        <v>107</v>
      </c>
      <c r="N44" s="89">
        <v>27.65</v>
      </c>
      <c r="O44" s="89">
        <v>44</v>
      </c>
      <c r="P44" s="99" t="s">
        <v>107</v>
      </c>
      <c r="Q44" s="98">
        <v>1.75</v>
      </c>
      <c r="R44" s="100">
        <f t="shared" ref="R44:R51" si="3">Q44/E44</f>
        <v>4.1916167664670656E-2</v>
      </c>
      <c r="S44" s="98" t="s">
        <v>127</v>
      </c>
      <c r="AU44" s="37"/>
      <c r="AV44" s="37"/>
      <c r="AW44" s="37"/>
      <c r="AX44" s="37"/>
      <c r="AY44" s="37"/>
    </row>
    <row r="45" spans="1:51" s="39" customFormat="1" ht="39.950000000000003" customHeight="1">
      <c r="A45" s="37"/>
      <c r="B45" s="37"/>
      <c r="C45" s="103" t="s">
        <v>71</v>
      </c>
      <c r="D45" s="95"/>
      <c r="E45" s="97">
        <f>VLOOKUP(C45,'Pricelist _ Sep.30.2020'!$B$6:$G$110,6,FALSE)</f>
        <v>17.100000000000001</v>
      </c>
      <c r="F45" s="98">
        <f t="shared" si="2"/>
        <v>6.7058823529411775</v>
      </c>
      <c r="G45" s="98">
        <v>3.7360049338457477</v>
      </c>
      <c r="H45" s="98">
        <v>2.5499999999999998</v>
      </c>
      <c r="I45" s="98">
        <v>4.9314545783832928</v>
      </c>
      <c r="J45" s="98">
        <v>33.508839999999999</v>
      </c>
      <c r="K45" s="98">
        <v>71.566630000000004</v>
      </c>
      <c r="L45" s="98">
        <v>20.218499999999999</v>
      </c>
      <c r="M45" s="98">
        <v>22.02375</v>
      </c>
      <c r="N45" s="89">
        <v>15.25</v>
      </c>
      <c r="O45" s="89">
        <v>27.5</v>
      </c>
      <c r="P45" s="99">
        <f>(E45/24)-1</f>
        <v>-0.28749999999999998</v>
      </c>
      <c r="Q45" s="98" t="s">
        <v>107</v>
      </c>
      <c r="R45" s="100" t="s">
        <v>107</v>
      </c>
      <c r="S45" s="98" t="s">
        <v>127</v>
      </c>
      <c r="AU45" s="37"/>
      <c r="AV45" s="37"/>
      <c r="AW45" s="37"/>
      <c r="AX45" s="37"/>
      <c r="AY45" s="37"/>
    </row>
    <row r="46" spans="1:51" s="39" customFormat="1" ht="39.950000000000003" customHeight="1">
      <c r="A46" s="37"/>
      <c r="B46" s="37"/>
      <c r="C46" s="103" t="s">
        <v>68</v>
      </c>
      <c r="D46" s="95"/>
      <c r="E46" s="97">
        <f>VLOOKUP(C46,'Pricelist _ Sep.30.2020'!$B$6:$G$110,6,FALSE)</f>
        <v>1.7</v>
      </c>
      <c r="F46" s="98">
        <f t="shared" si="2"/>
        <v>9.4444444444444446</v>
      </c>
      <c r="G46" s="98">
        <v>1.6491417256229264</v>
      </c>
      <c r="H46" s="98">
        <v>0.18</v>
      </c>
      <c r="I46" s="98">
        <v>2.4313618907366608</v>
      </c>
      <c r="J46" s="98">
        <v>53.350549999999998</v>
      </c>
      <c r="K46" s="98">
        <v>66.653769999999994</v>
      </c>
      <c r="L46" s="98">
        <v>1.5615000000000001</v>
      </c>
      <c r="M46" s="98">
        <v>1.4684999999999999</v>
      </c>
      <c r="N46" s="89">
        <v>1.1599999999999999</v>
      </c>
      <c r="O46" s="89">
        <v>1.92</v>
      </c>
      <c r="P46" s="99">
        <f>(E46/1.33)-1</f>
        <v>0.27819548872180433</v>
      </c>
      <c r="Q46" s="98">
        <v>2.4E-2</v>
      </c>
      <c r="R46" s="100">
        <f>Q46/E46</f>
        <v>1.411764705882353E-2</v>
      </c>
      <c r="S46" s="98" t="s">
        <v>129</v>
      </c>
      <c r="AU46" s="37"/>
      <c r="AV46" s="37"/>
      <c r="AW46" s="37"/>
      <c r="AX46" s="37"/>
      <c r="AY46" s="37"/>
    </row>
    <row r="47" spans="1:51" s="39" customFormat="1" ht="39.950000000000003" customHeight="1">
      <c r="A47" s="37"/>
      <c r="B47" s="37"/>
      <c r="C47" s="103" t="s">
        <v>4</v>
      </c>
      <c r="D47" s="95"/>
      <c r="E47" s="97">
        <f>VLOOKUP(C47,'Pricelist _ Sep.30.2020'!$B$6:$G$110,6,FALSE)</f>
        <v>142.9</v>
      </c>
      <c r="F47" s="98">
        <f t="shared" si="2"/>
        <v>12.120441051738762</v>
      </c>
      <c r="G47" s="98">
        <v>3.134717590101558</v>
      </c>
      <c r="H47" s="98">
        <v>11.79</v>
      </c>
      <c r="I47" s="98">
        <v>6.485344351863418</v>
      </c>
      <c r="J47" s="98">
        <v>47.939219999999999</v>
      </c>
      <c r="K47" s="98">
        <v>37.14161</v>
      </c>
      <c r="L47" s="98">
        <v>134.43799999999999</v>
      </c>
      <c r="M47" s="98">
        <v>144.9425</v>
      </c>
      <c r="N47" s="89">
        <v>116</v>
      </c>
      <c r="O47" s="89">
        <v>180.4</v>
      </c>
      <c r="P47" s="99">
        <f>(E47/142)-1</f>
        <v>6.3380281690141871E-3</v>
      </c>
      <c r="Q47" s="98">
        <v>16</v>
      </c>
      <c r="R47" s="100">
        <f t="shared" si="3"/>
        <v>0.1119664100769769</v>
      </c>
      <c r="S47" s="98" t="s">
        <v>127</v>
      </c>
      <c r="AU47" s="37"/>
      <c r="AV47" s="37"/>
      <c r="AW47" s="37"/>
      <c r="AX47" s="37"/>
      <c r="AY47" s="37"/>
    </row>
    <row r="48" spans="1:51" s="39" customFormat="1" ht="39.950000000000003" customHeight="1">
      <c r="A48" s="37"/>
      <c r="B48" s="37"/>
      <c r="C48" s="103" t="s">
        <v>44</v>
      </c>
      <c r="D48" s="95"/>
      <c r="E48" s="97">
        <f>VLOOKUP(C48,'Pricelist _ Sep.30.2020'!$B$6:$G$110,6,FALSE)</f>
        <v>16.05</v>
      </c>
      <c r="F48" s="98">
        <f t="shared" si="2"/>
        <v>2.9023460027417074</v>
      </c>
      <c r="G48" s="98">
        <v>0.71514014468202947</v>
      </c>
      <c r="H48" s="98">
        <v>5.5300091666666669</v>
      </c>
      <c r="I48" s="98" t="s">
        <v>107</v>
      </c>
      <c r="J48" s="98">
        <v>48.238529999999997</v>
      </c>
      <c r="K48" s="98">
        <v>49.472589999999997</v>
      </c>
      <c r="L48" s="98">
        <v>19.008420000000001</v>
      </c>
      <c r="M48" s="98">
        <v>18.20317</v>
      </c>
      <c r="N48" s="89">
        <v>14.41667</v>
      </c>
      <c r="O48" s="89">
        <v>22.91667</v>
      </c>
      <c r="P48" s="99">
        <f>(E48/16.58)-1</f>
        <v>-3.1966224366706708E-2</v>
      </c>
      <c r="Q48" s="98">
        <v>1.6666669999999999</v>
      </c>
      <c r="R48" s="100">
        <f t="shared" si="3"/>
        <v>0.10384218068535825</v>
      </c>
      <c r="S48" s="98" t="s">
        <v>127</v>
      </c>
      <c r="AU48" s="37"/>
      <c r="AV48" s="37"/>
      <c r="AW48" s="37"/>
      <c r="AX48" s="37"/>
      <c r="AY48" s="37"/>
    </row>
    <row r="49" spans="1:51" s="39" customFormat="1" ht="39.950000000000003" customHeight="1">
      <c r="A49" s="37"/>
      <c r="B49" s="37"/>
      <c r="C49" s="103" t="s">
        <v>40</v>
      </c>
      <c r="D49" s="95"/>
      <c r="E49" s="97">
        <f>VLOOKUP(C49,'Pricelist _ Sep.30.2020'!$B$6:$G$110,6,FALSE)</f>
        <v>2</v>
      </c>
      <c r="F49" s="98">
        <f t="shared" si="2"/>
        <v>3.125</v>
      </c>
      <c r="G49" s="98">
        <v>0.50136631859897862</v>
      </c>
      <c r="H49" s="98">
        <v>0.64</v>
      </c>
      <c r="I49" s="98">
        <v>2.5204484823892108</v>
      </c>
      <c r="J49" s="98">
        <v>44.64378</v>
      </c>
      <c r="K49" s="98">
        <v>44.322980000000001</v>
      </c>
      <c r="L49" s="98">
        <v>2.3405</v>
      </c>
      <c r="M49" s="98">
        <v>2.4174000000000002</v>
      </c>
      <c r="N49" s="89">
        <v>1.9</v>
      </c>
      <c r="O49" s="89">
        <v>3.01</v>
      </c>
      <c r="P49" s="99">
        <f>(E49/2.4)-1</f>
        <v>-0.16666666666666663</v>
      </c>
      <c r="Q49" s="98">
        <v>0.3</v>
      </c>
      <c r="R49" s="100">
        <f t="shared" si="3"/>
        <v>0.15</v>
      </c>
      <c r="S49" s="98" t="s">
        <v>127</v>
      </c>
      <c r="AU49" s="37"/>
      <c r="AV49" s="37"/>
      <c r="AW49" s="37"/>
      <c r="AX49" s="37"/>
      <c r="AY49" s="37"/>
    </row>
    <row r="50" spans="1:51" s="39" customFormat="1" ht="39.950000000000003" customHeight="1">
      <c r="A50" s="37"/>
      <c r="B50" s="37"/>
      <c r="C50" s="103" t="s">
        <v>49</v>
      </c>
      <c r="D50" s="95"/>
      <c r="E50" s="97">
        <f>VLOOKUP(C50,'Pricelist _ Sep.30.2020'!$B$6:$G$110,6,FALSE)</f>
        <v>6</v>
      </c>
      <c r="F50" s="98">
        <f t="shared" si="2"/>
        <v>3.2967032967032965</v>
      </c>
      <c r="G50" s="98">
        <v>0.93764606173345211</v>
      </c>
      <c r="H50" s="98">
        <v>1.82</v>
      </c>
      <c r="I50" s="98">
        <v>1.6056297467179113</v>
      </c>
      <c r="J50" s="98">
        <v>50.664070000000002</v>
      </c>
      <c r="K50" s="98">
        <v>37.268889999999999</v>
      </c>
      <c r="L50" s="98">
        <v>5.2876000000000003</v>
      </c>
      <c r="M50" s="98">
        <v>4.8214499999999996</v>
      </c>
      <c r="N50" s="89">
        <v>3.5</v>
      </c>
      <c r="O50" s="89">
        <v>6.1</v>
      </c>
      <c r="P50" s="99">
        <f>(E50/4.4)-1</f>
        <v>0.36363636363636354</v>
      </c>
      <c r="Q50" s="98">
        <v>0.42</v>
      </c>
      <c r="R50" s="100">
        <f t="shared" si="3"/>
        <v>6.9999999999999993E-2</v>
      </c>
      <c r="S50" s="98" t="s">
        <v>132</v>
      </c>
      <c r="AU50" s="37"/>
      <c r="AV50" s="37"/>
      <c r="AW50" s="37"/>
      <c r="AX50" s="37"/>
      <c r="AY50" s="37"/>
    </row>
    <row r="51" spans="1:51" s="39" customFormat="1" ht="39.950000000000003" customHeight="1">
      <c r="A51" s="37"/>
      <c r="B51" s="37"/>
      <c r="C51" s="103" t="s">
        <v>26</v>
      </c>
      <c r="D51" s="95"/>
      <c r="E51" s="97">
        <f>VLOOKUP(C51,'Pricelist _ Sep.30.2020'!$B$6:$G$110,6,FALSE)</f>
        <v>15</v>
      </c>
      <c r="F51" s="98">
        <f>E51/H51</f>
        <v>2.0979020979020979</v>
      </c>
      <c r="G51" s="98">
        <v>0.52833374504227582</v>
      </c>
      <c r="H51" s="98">
        <v>7.15</v>
      </c>
      <c r="I51" s="98">
        <v>2.4702429553859093</v>
      </c>
      <c r="J51" s="98">
        <v>51.269309999999997</v>
      </c>
      <c r="K51" s="98">
        <v>30.69999</v>
      </c>
      <c r="L51" s="98">
        <v>11.1935</v>
      </c>
      <c r="M51" s="98">
        <v>12.657</v>
      </c>
      <c r="N51" s="89">
        <v>8.9499999999999993</v>
      </c>
      <c r="O51" s="89">
        <v>17.600000000000001</v>
      </c>
      <c r="P51" s="99">
        <f>(E51/15.3)-1</f>
        <v>-1.9607843137254943E-2</v>
      </c>
      <c r="Q51" s="98">
        <v>1</v>
      </c>
      <c r="R51" s="100">
        <f t="shared" si="3"/>
        <v>6.6666666666666666E-2</v>
      </c>
      <c r="S51" s="98" t="s">
        <v>127</v>
      </c>
      <c r="AU51" s="37"/>
      <c r="AV51" s="37"/>
      <c r="AW51" s="37"/>
      <c r="AX51" s="37"/>
      <c r="AY51" s="37"/>
    </row>
    <row r="52" spans="1:51" s="39" customFormat="1" ht="36" customHeight="1">
      <c r="A52" s="37"/>
      <c r="B52" s="37"/>
      <c r="C52" s="105"/>
      <c r="D52" s="92"/>
      <c r="E52" s="63"/>
      <c r="F52" s="63"/>
      <c r="G52" s="63"/>
      <c r="H52" s="63"/>
      <c r="I52" s="63"/>
      <c r="J52" s="63"/>
      <c r="K52" s="63"/>
      <c r="L52" s="63"/>
      <c r="M52" s="63"/>
      <c r="N52" s="63"/>
      <c r="O52" s="93"/>
      <c r="P52" s="94"/>
      <c r="Q52" s="63"/>
      <c r="R52" s="94"/>
      <c r="S52" s="88"/>
      <c r="AU52" s="37"/>
      <c r="AV52" s="37"/>
      <c r="AW52" s="37"/>
      <c r="AX52" s="37"/>
      <c r="AY52" s="37"/>
    </row>
    <row r="53" spans="1:51" s="39" customFormat="1" ht="35.25" customHeight="1">
      <c r="A53" s="37"/>
      <c r="B53" s="37"/>
      <c r="C53" s="104" t="s">
        <v>109</v>
      </c>
      <c r="D53" s="78"/>
      <c r="E53" s="89" t="s">
        <v>85</v>
      </c>
      <c r="F53" s="89" t="s">
        <v>114</v>
      </c>
      <c r="G53" s="89" t="s">
        <v>133</v>
      </c>
      <c r="H53" s="89" t="s">
        <v>87</v>
      </c>
      <c r="I53" s="89" t="s">
        <v>88</v>
      </c>
      <c r="J53" s="90" t="s">
        <v>89</v>
      </c>
      <c r="K53" s="89" t="s">
        <v>134</v>
      </c>
      <c r="L53" s="89" t="s">
        <v>135</v>
      </c>
      <c r="M53" s="89" t="s">
        <v>136</v>
      </c>
      <c r="N53" s="90" t="s">
        <v>164</v>
      </c>
      <c r="O53" s="90" t="s">
        <v>165</v>
      </c>
      <c r="P53" s="90" t="s">
        <v>115</v>
      </c>
      <c r="Q53" s="89" t="s">
        <v>137</v>
      </c>
      <c r="R53" s="89" t="s">
        <v>138</v>
      </c>
      <c r="S53" s="89" t="s">
        <v>139</v>
      </c>
      <c r="AU53" s="37"/>
      <c r="AV53" s="37"/>
      <c r="AW53" s="37"/>
      <c r="AX53" s="37"/>
      <c r="AY53" s="37"/>
    </row>
    <row r="54" spans="1:51" s="39" customFormat="1" ht="39.950000000000003" customHeight="1">
      <c r="A54" s="37"/>
      <c r="B54" s="37"/>
      <c r="C54" s="103" t="s">
        <v>62</v>
      </c>
      <c r="D54" s="95"/>
      <c r="E54" s="97">
        <f>VLOOKUP(C54,'Pricelist _ Sep.30.2020'!$B$6:$G$110,6,FALSE)</f>
        <v>11</v>
      </c>
      <c r="F54" s="98">
        <f t="shared" ref="F54:F59" si="4">E54/H54</f>
        <v>3.6666666666666665</v>
      </c>
      <c r="G54" s="98">
        <v>0.96147097096090151</v>
      </c>
      <c r="H54" s="98">
        <v>3</v>
      </c>
      <c r="I54" s="98">
        <v>3.7579265665492918</v>
      </c>
      <c r="J54" s="98">
        <v>46.701659999999997</v>
      </c>
      <c r="K54" s="98">
        <v>61.874049999999997</v>
      </c>
      <c r="L54" s="98">
        <v>12.993</v>
      </c>
      <c r="M54" s="98">
        <v>15.17975</v>
      </c>
      <c r="N54" s="89">
        <v>9.4</v>
      </c>
      <c r="O54" s="89">
        <v>20.6</v>
      </c>
      <c r="P54" s="99">
        <f>(E54/18.1)-1</f>
        <v>-0.39226519337016574</v>
      </c>
      <c r="Q54" s="98" t="s">
        <v>107</v>
      </c>
      <c r="R54" s="100" t="s">
        <v>107</v>
      </c>
      <c r="S54" s="98" t="s">
        <v>127</v>
      </c>
      <c r="AU54" s="37"/>
      <c r="AV54" s="37"/>
      <c r="AW54" s="37"/>
      <c r="AX54" s="37"/>
      <c r="AY54" s="37"/>
    </row>
    <row r="55" spans="1:51" s="39" customFormat="1" ht="39.950000000000003" customHeight="1">
      <c r="A55" s="37"/>
      <c r="B55" s="37"/>
      <c r="C55" s="103" t="s">
        <v>55</v>
      </c>
      <c r="D55" s="95"/>
      <c r="E55" s="97">
        <f>VLOOKUP(C55,'Pricelist _ Sep.30.2020'!$B$6:$G$110,6,FALSE)</f>
        <v>15.25</v>
      </c>
      <c r="F55" s="98">
        <f t="shared" si="4"/>
        <v>5.3321678321678325</v>
      </c>
      <c r="G55" s="98">
        <v>0.53430964481696752</v>
      </c>
      <c r="H55" s="98">
        <v>2.86</v>
      </c>
      <c r="I55" s="98">
        <v>4.6015904395512406</v>
      </c>
      <c r="J55" s="98">
        <v>16.756519999999998</v>
      </c>
      <c r="K55" s="98">
        <v>30.761130000000001</v>
      </c>
      <c r="L55" s="98">
        <v>18.046500000000002</v>
      </c>
      <c r="M55" s="98">
        <v>17.920249999999999</v>
      </c>
      <c r="N55" s="89">
        <v>13.15</v>
      </c>
      <c r="O55" s="89">
        <v>21</v>
      </c>
      <c r="P55" s="99">
        <f>(E55/18.5)-1</f>
        <v>-0.17567567567567566</v>
      </c>
      <c r="Q55" s="98">
        <v>2</v>
      </c>
      <c r="R55" s="100">
        <f t="shared" ref="R55:R60" si="5">(Q55/E55)</f>
        <v>0.13114754098360656</v>
      </c>
      <c r="S55" s="98" t="s">
        <v>127</v>
      </c>
      <c r="AU55" s="37"/>
      <c r="AV55" s="37"/>
      <c r="AW55" s="37"/>
      <c r="AX55" s="37"/>
      <c r="AY55" s="37"/>
    </row>
    <row r="56" spans="1:51" s="39" customFormat="1" ht="39.950000000000003" customHeight="1">
      <c r="A56" s="37"/>
      <c r="B56" s="37"/>
      <c r="C56" s="103" t="s">
        <v>39</v>
      </c>
      <c r="D56" s="95"/>
      <c r="E56" s="97">
        <f>VLOOKUP(C56,'Pricelist _ Sep.30.2020'!$B$6:$G$110,6,FALSE)</f>
        <v>2.74</v>
      </c>
      <c r="F56" s="98">
        <f t="shared" si="4"/>
        <v>39.142857142857139</v>
      </c>
      <c r="G56" s="98">
        <v>0.20078013801425437</v>
      </c>
      <c r="H56" s="98">
        <v>7.0000000000000007E-2</v>
      </c>
      <c r="I56" s="98">
        <v>3.4410638049760434</v>
      </c>
      <c r="J56" s="98">
        <v>34.658070000000002</v>
      </c>
      <c r="K56" s="98">
        <v>52.972450000000002</v>
      </c>
      <c r="L56" s="98">
        <v>2.2677999999999998</v>
      </c>
      <c r="M56" s="98">
        <v>2.4824999999999999</v>
      </c>
      <c r="N56" s="89">
        <v>1.8</v>
      </c>
      <c r="O56" s="89">
        <v>3.6</v>
      </c>
      <c r="P56" s="99">
        <f>(E56/3.6)-1</f>
        <v>-0.23888888888888882</v>
      </c>
      <c r="Q56" s="98" t="s">
        <v>107</v>
      </c>
      <c r="R56" s="100" t="s">
        <v>107</v>
      </c>
      <c r="S56" s="98" t="s">
        <v>127</v>
      </c>
      <c r="AU56" s="37"/>
      <c r="AV56" s="37"/>
      <c r="AW56" s="37"/>
      <c r="AX56" s="37"/>
      <c r="AY56" s="37"/>
    </row>
    <row r="57" spans="1:51" s="39" customFormat="1" ht="39.950000000000003" customHeight="1">
      <c r="A57" s="37"/>
      <c r="B57" s="37"/>
      <c r="C57" s="103" t="s">
        <v>29</v>
      </c>
      <c r="D57" s="95"/>
      <c r="E57" s="97">
        <f>VLOOKUP(C57,'Pricelist _ Sep.30.2020'!$B$6:$G$110,6,FALSE)</f>
        <v>186.9</v>
      </c>
      <c r="F57" s="98">
        <f t="shared" si="4"/>
        <v>7.5863529101558251</v>
      </c>
      <c r="G57" s="98">
        <v>1.4953665858605965</v>
      </c>
      <c r="H57" s="98">
        <v>24.636344000000001</v>
      </c>
      <c r="I57" s="98">
        <v>4.9986765468916188</v>
      </c>
      <c r="J57" s="98">
        <v>41.478789999999996</v>
      </c>
      <c r="K57" s="98">
        <v>2.7502</v>
      </c>
      <c r="L57" s="98">
        <v>179.059</v>
      </c>
      <c r="M57" s="98">
        <v>161.81549999999999</v>
      </c>
      <c r="N57" s="89">
        <v>126</v>
      </c>
      <c r="O57" s="89">
        <v>213.9</v>
      </c>
      <c r="P57" s="99">
        <f>(E57/147.9)-1</f>
        <v>0.26369168356997963</v>
      </c>
      <c r="Q57" s="98">
        <v>8.25</v>
      </c>
      <c r="R57" s="100">
        <f t="shared" si="5"/>
        <v>4.4141252006420544E-2</v>
      </c>
      <c r="S57" s="98" t="s">
        <v>127</v>
      </c>
      <c r="AU57" s="37"/>
      <c r="AV57" s="37"/>
      <c r="AW57" s="37"/>
      <c r="AX57" s="37"/>
      <c r="AY57" s="37"/>
    </row>
    <row r="58" spans="1:51" s="39" customFormat="1" ht="39.950000000000003" customHeight="1">
      <c r="A58" s="37"/>
      <c r="B58" s="37"/>
      <c r="C58" s="103" t="s">
        <v>46</v>
      </c>
      <c r="D58" s="95"/>
      <c r="E58" s="97">
        <f>VLOOKUP(C58,'Pricelist _ Sep.30.2020'!$B$6:$G$110,6,FALSE)</f>
        <v>2.25</v>
      </c>
      <c r="F58" s="98">
        <f t="shared" si="4"/>
        <v>1.1421319796954315</v>
      </c>
      <c r="G58" s="98">
        <v>0.13974209073036253</v>
      </c>
      <c r="H58" s="98">
        <v>1.97</v>
      </c>
      <c r="I58" s="98">
        <v>6.751009483413978</v>
      </c>
      <c r="J58" s="98">
        <v>48.071910000000003</v>
      </c>
      <c r="K58" s="98">
        <v>50.32302</v>
      </c>
      <c r="L58" s="98">
        <v>2.4556</v>
      </c>
      <c r="M58" s="98">
        <v>2.88985</v>
      </c>
      <c r="N58" s="89">
        <v>1.89</v>
      </c>
      <c r="O58" s="89">
        <v>4.0999999999999996</v>
      </c>
      <c r="P58" s="99">
        <f>(E58/3.99)-1</f>
        <v>-0.43609022556390975</v>
      </c>
      <c r="Q58" s="98" t="s">
        <v>107</v>
      </c>
      <c r="R58" s="100" t="s">
        <v>107</v>
      </c>
      <c r="S58" s="98" t="s">
        <v>127</v>
      </c>
      <c r="AU58" s="37"/>
      <c r="AV58" s="37"/>
      <c r="AW58" s="37"/>
      <c r="AX58" s="37"/>
      <c r="AY58" s="37"/>
    </row>
    <row r="59" spans="1:51" s="39" customFormat="1" ht="39.950000000000003" customHeight="1">
      <c r="A59" s="37"/>
      <c r="B59" s="37"/>
      <c r="C59" s="103" t="s">
        <v>53</v>
      </c>
      <c r="D59" s="95"/>
      <c r="E59" s="97">
        <f>VLOOKUP(C59,'Pricelist _ Sep.30.2020'!$B$6:$G$110,6,FALSE)</f>
        <v>400</v>
      </c>
      <c r="F59" s="98">
        <f t="shared" si="4"/>
        <v>816.32653061224494</v>
      </c>
      <c r="G59" s="98">
        <v>0.33838648508063462</v>
      </c>
      <c r="H59" s="98">
        <v>0.49</v>
      </c>
      <c r="I59" s="98">
        <v>7.7812810524626643</v>
      </c>
      <c r="J59" s="98">
        <v>45.709949999999999</v>
      </c>
      <c r="K59" s="98">
        <v>74.438509999999994</v>
      </c>
      <c r="L59" s="98">
        <v>433.75599999999997</v>
      </c>
      <c r="M59" s="98">
        <v>505.38400000000001</v>
      </c>
      <c r="N59" s="89">
        <v>282</v>
      </c>
      <c r="O59" s="89">
        <v>657.8</v>
      </c>
      <c r="P59" s="99">
        <f>(E59/657.8)-1</f>
        <v>-0.3919124353906962</v>
      </c>
      <c r="Q59" s="98">
        <v>37.5</v>
      </c>
      <c r="R59" s="100">
        <f t="shared" si="5"/>
        <v>9.375E-2</v>
      </c>
      <c r="S59" s="98" t="s">
        <v>127</v>
      </c>
      <c r="AU59" s="37"/>
      <c r="AV59" s="37"/>
      <c r="AW59" s="37"/>
      <c r="AX59" s="37"/>
      <c r="AY59" s="37"/>
    </row>
    <row r="60" spans="1:51" s="39" customFormat="1" ht="39.950000000000003" customHeight="1">
      <c r="A60" s="37"/>
      <c r="B60" s="37"/>
      <c r="C60" s="103" t="s">
        <v>20</v>
      </c>
      <c r="D60" s="95"/>
      <c r="E60" s="97">
        <f>VLOOKUP(C60,'Pricelist _ Sep.30.2020'!$B$6:$G$110,6,FALSE)</f>
        <v>96.8</v>
      </c>
      <c r="F60" s="98">
        <f>E60/H60</f>
        <v>14.426229508196721</v>
      </c>
      <c r="G60" s="98">
        <v>1.0648801155798917</v>
      </c>
      <c r="H60" s="98">
        <v>6.71</v>
      </c>
      <c r="I60" s="98">
        <v>4.7991855033015369</v>
      </c>
      <c r="J60" s="98">
        <v>12.210229999999999</v>
      </c>
      <c r="K60" s="98">
        <v>43.78745</v>
      </c>
      <c r="L60" s="98">
        <v>94.337999999999994</v>
      </c>
      <c r="M60" s="98">
        <v>101.8005</v>
      </c>
      <c r="N60" s="89">
        <v>78</v>
      </c>
      <c r="O60" s="89">
        <v>129.5</v>
      </c>
      <c r="P60" s="99">
        <f>(E60/110.9)-1</f>
        <v>-0.1271415689810641</v>
      </c>
      <c r="Q60" s="98">
        <v>6.71</v>
      </c>
      <c r="R60" s="100">
        <f t="shared" si="5"/>
        <v>6.931818181818182E-2</v>
      </c>
      <c r="S60" s="98" t="s">
        <v>127</v>
      </c>
      <c r="AU60" s="37"/>
      <c r="AV60" s="37"/>
      <c r="AW60" s="37"/>
      <c r="AX60" s="37"/>
      <c r="AY60" s="37"/>
    </row>
    <row r="61" spans="1:51" s="39" customFormat="1" ht="36" customHeight="1">
      <c r="A61" s="37"/>
      <c r="B61" s="37"/>
      <c r="C61" s="105"/>
      <c r="D61" s="92"/>
      <c r="E61" s="63"/>
      <c r="F61" s="63"/>
      <c r="G61" s="63"/>
      <c r="H61" s="63"/>
      <c r="I61" s="63"/>
      <c r="J61" s="63"/>
      <c r="K61" s="63"/>
      <c r="L61" s="63"/>
      <c r="M61" s="63"/>
      <c r="N61" s="63"/>
      <c r="O61" s="93"/>
      <c r="P61" s="94"/>
      <c r="Q61" s="63"/>
      <c r="R61" s="94"/>
      <c r="S61" s="88"/>
      <c r="AU61" s="37"/>
      <c r="AV61" s="37"/>
      <c r="AW61" s="37"/>
      <c r="AX61" s="37"/>
      <c r="AY61" s="37"/>
    </row>
    <row r="62" spans="1:51" s="39" customFormat="1" ht="36.75" customHeight="1">
      <c r="A62" s="37"/>
      <c r="B62" s="37"/>
      <c r="C62" s="104" t="s">
        <v>110</v>
      </c>
      <c r="D62" s="78"/>
      <c r="E62" s="89" t="s">
        <v>85</v>
      </c>
      <c r="F62" s="89" t="s">
        <v>114</v>
      </c>
      <c r="G62" s="89" t="s">
        <v>133</v>
      </c>
      <c r="H62" s="89" t="s">
        <v>87</v>
      </c>
      <c r="I62" s="89" t="s">
        <v>88</v>
      </c>
      <c r="J62" s="90" t="s">
        <v>140</v>
      </c>
      <c r="K62" s="89" t="s">
        <v>134</v>
      </c>
      <c r="L62" s="89" t="s">
        <v>135</v>
      </c>
      <c r="M62" s="89" t="s">
        <v>136</v>
      </c>
      <c r="N62" s="90" t="s">
        <v>164</v>
      </c>
      <c r="O62" s="90" t="s">
        <v>165</v>
      </c>
      <c r="P62" s="90" t="s">
        <v>115</v>
      </c>
      <c r="Q62" s="89" t="s">
        <v>137</v>
      </c>
      <c r="R62" s="89" t="s">
        <v>138</v>
      </c>
      <c r="S62" s="89" t="s">
        <v>139</v>
      </c>
      <c r="AU62" s="37"/>
      <c r="AV62" s="37"/>
      <c r="AW62" s="37"/>
      <c r="AX62" s="37"/>
      <c r="AY62" s="37"/>
    </row>
    <row r="63" spans="1:51" s="39" customFormat="1" ht="39.950000000000003" customHeight="1">
      <c r="A63" s="37"/>
      <c r="B63" s="37"/>
      <c r="C63" s="103" t="s">
        <v>16</v>
      </c>
      <c r="D63" s="95"/>
      <c r="E63" s="97">
        <f>VLOOKUP(C63,'Pricelist _ Sep.30.2020'!$B$6:$G$102,6,FALSE)</f>
        <v>80</v>
      </c>
      <c r="F63" s="98">
        <f>E63/H63</f>
        <v>15.122873345935728</v>
      </c>
      <c r="G63" s="98">
        <v>2.4092192742171186</v>
      </c>
      <c r="H63" s="98">
        <v>5.29</v>
      </c>
      <c r="I63" s="98" t="s">
        <v>107</v>
      </c>
      <c r="J63" s="98">
        <v>71.783090000000001</v>
      </c>
      <c r="K63" s="98">
        <v>22.89874</v>
      </c>
      <c r="L63" s="98">
        <v>66.009</v>
      </c>
      <c r="M63" s="98">
        <v>62.821249999999999</v>
      </c>
      <c r="N63" s="89">
        <v>40.15</v>
      </c>
      <c r="O63" s="89">
        <v>80</v>
      </c>
      <c r="P63" s="99">
        <f>(E63/55.6)-1</f>
        <v>0.43884892086330929</v>
      </c>
      <c r="Q63" s="98">
        <v>2</v>
      </c>
      <c r="R63" s="100">
        <f>Q63/E63</f>
        <v>2.5000000000000001E-2</v>
      </c>
      <c r="S63" s="98" t="s">
        <v>127</v>
      </c>
      <c r="AU63" s="37"/>
      <c r="AV63" s="37"/>
      <c r="AW63" s="37"/>
      <c r="AX63" s="37"/>
      <c r="AY63" s="37"/>
    </row>
    <row r="64" spans="1:51" s="39" customFormat="1" ht="39.950000000000003" customHeight="1">
      <c r="A64" s="37"/>
      <c r="B64" s="37"/>
      <c r="C64" s="103" t="s">
        <v>65</v>
      </c>
      <c r="D64" s="95"/>
      <c r="E64" s="97">
        <f>VLOOKUP(C64,'Pricelist _ Sep.30.2020'!$B$6:$G$102,6,FALSE)</f>
        <v>53</v>
      </c>
      <c r="F64" s="98">
        <f>E64/H64</f>
        <v>14.171122994652405</v>
      </c>
      <c r="G64" s="98">
        <v>1.65049512664367</v>
      </c>
      <c r="H64" s="98">
        <v>3.74</v>
      </c>
      <c r="I64" s="98">
        <v>6.4595716619835377</v>
      </c>
      <c r="J64" s="98">
        <v>61.49427</v>
      </c>
      <c r="K64" s="98">
        <v>28.066939999999999</v>
      </c>
      <c r="L64" s="98">
        <v>43.255000000000003</v>
      </c>
      <c r="M64" s="98">
        <v>43.878749999999997</v>
      </c>
      <c r="N64" s="89">
        <v>31.3</v>
      </c>
      <c r="O64" s="89">
        <v>57.05</v>
      </c>
      <c r="P64" s="99">
        <f>(E64/47.5)-1</f>
        <v>0.11578947368421044</v>
      </c>
      <c r="Q64" s="98">
        <v>2</v>
      </c>
      <c r="R64" s="100">
        <f>Q64/E64</f>
        <v>3.7735849056603772E-2</v>
      </c>
      <c r="S64" s="98" t="s">
        <v>127</v>
      </c>
      <c r="AU64" s="37"/>
      <c r="AV64" s="37"/>
      <c r="AW64" s="37"/>
      <c r="AX64" s="37"/>
      <c r="AY64" s="37"/>
    </row>
    <row r="65" spans="1:51" s="39" customFormat="1" ht="36" customHeight="1">
      <c r="A65" s="37"/>
      <c r="B65" s="37"/>
      <c r="C65" s="105"/>
      <c r="D65" s="92"/>
      <c r="E65" s="63"/>
      <c r="F65" s="63"/>
      <c r="G65" s="63"/>
      <c r="H65" s="63"/>
      <c r="I65" s="63"/>
      <c r="J65" s="63"/>
      <c r="K65" s="63"/>
      <c r="L65" s="63"/>
      <c r="M65" s="63"/>
      <c r="N65" s="63"/>
      <c r="O65" s="93"/>
      <c r="P65" s="94"/>
      <c r="Q65" s="63"/>
      <c r="R65" s="94"/>
      <c r="S65" s="88"/>
      <c r="AU65" s="37"/>
      <c r="AV65" s="37"/>
      <c r="AW65" s="37"/>
      <c r="AX65" s="37"/>
      <c r="AY65" s="37"/>
    </row>
    <row r="66" spans="1:51" s="39" customFormat="1" ht="35.25" customHeight="1">
      <c r="A66" s="37"/>
      <c r="B66" s="37"/>
      <c r="C66" s="104" t="s">
        <v>125</v>
      </c>
      <c r="D66" s="78"/>
      <c r="E66" s="89" t="s">
        <v>85</v>
      </c>
      <c r="F66" s="89" t="s">
        <v>114</v>
      </c>
      <c r="G66" s="89" t="s">
        <v>133</v>
      </c>
      <c r="H66" s="89" t="s">
        <v>87</v>
      </c>
      <c r="I66" s="89" t="s">
        <v>88</v>
      </c>
      <c r="J66" s="90" t="s">
        <v>140</v>
      </c>
      <c r="K66" s="89" t="s">
        <v>134</v>
      </c>
      <c r="L66" s="89" t="s">
        <v>135</v>
      </c>
      <c r="M66" s="89" t="s">
        <v>136</v>
      </c>
      <c r="N66" s="90" t="s">
        <v>164</v>
      </c>
      <c r="O66" s="90" t="s">
        <v>165</v>
      </c>
      <c r="P66" s="90" t="s">
        <v>115</v>
      </c>
      <c r="Q66" s="89" t="s">
        <v>137</v>
      </c>
      <c r="R66" s="89" t="s">
        <v>138</v>
      </c>
      <c r="S66" s="89" t="s">
        <v>139</v>
      </c>
      <c r="AU66" s="37"/>
      <c r="AV66" s="37"/>
      <c r="AW66" s="37"/>
      <c r="AX66" s="37"/>
      <c r="AY66" s="37"/>
    </row>
    <row r="67" spans="1:51" s="39" customFormat="1" ht="39.950000000000003" customHeight="1">
      <c r="A67" s="37"/>
      <c r="B67" s="37"/>
      <c r="C67" s="103" t="s">
        <v>72</v>
      </c>
      <c r="D67" s="95"/>
      <c r="E67" s="97">
        <f>VLOOKUP(C67,'Pricelist _ Sep.30.2020'!$B$6:$G$102,6,FALSE)</f>
        <v>380</v>
      </c>
      <c r="F67" s="98" t="s">
        <v>107</v>
      </c>
      <c r="G67" s="98" t="s">
        <v>107</v>
      </c>
      <c r="H67" s="98" t="s">
        <v>107</v>
      </c>
      <c r="I67" s="98">
        <v>3.7381141154830453</v>
      </c>
      <c r="J67" s="98">
        <v>92.025220000000004</v>
      </c>
      <c r="K67" s="98">
        <v>26.340029999999999</v>
      </c>
      <c r="L67" s="98">
        <v>321.14800000000002</v>
      </c>
      <c r="M67" s="98">
        <v>310.339</v>
      </c>
      <c r="N67" s="89">
        <v>275</v>
      </c>
      <c r="O67" s="89">
        <v>380</v>
      </c>
      <c r="P67" s="99">
        <f>(E67/298.9)-1</f>
        <v>0.27132820341251263</v>
      </c>
      <c r="Q67" s="98">
        <f>0.03*305</f>
        <v>9.15</v>
      </c>
      <c r="R67" s="100">
        <f>Q67/E67</f>
        <v>2.4078947368421054E-2</v>
      </c>
      <c r="S67" s="98" t="s">
        <v>127</v>
      </c>
      <c r="AU67" s="37"/>
      <c r="AV67" s="37"/>
      <c r="AW67" s="37"/>
      <c r="AX67" s="37"/>
      <c r="AY67" s="37"/>
    </row>
    <row r="68" spans="1:51" s="39" customFormat="1" ht="39.950000000000003" customHeight="1">
      <c r="A68" s="37"/>
      <c r="B68" s="37"/>
      <c r="C68" s="103" t="s">
        <v>54</v>
      </c>
      <c r="D68" s="95"/>
      <c r="E68" s="97">
        <f>VLOOKUP(C68,'Pricelist _ Sep.30.2020'!$B$6:$G$102,6,FALSE)</f>
        <v>129</v>
      </c>
      <c r="F68" s="98">
        <f>E68/H68</f>
        <v>12.990936555891238</v>
      </c>
      <c r="G68" s="98">
        <v>17.207540566965903</v>
      </c>
      <c r="H68" s="98">
        <v>9.93</v>
      </c>
      <c r="I68" s="98">
        <v>4.8816803292714086</v>
      </c>
      <c r="J68" s="98">
        <v>54.096690000000002</v>
      </c>
      <c r="K68" s="98">
        <v>7.6719140000000001</v>
      </c>
      <c r="L68" s="98">
        <v>112.866</v>
      </c>
      <c r="M68" s="98">
        <v>113.7698</v>
      </c>
      <c r="N68" s="89">
        <v>90</v>
      </c>
      <c r="O68" s="89">
        <v>145</v>
      </c>
      <c r="P68" s="99">
        <f>(E68/105)-1</f>
        <v>0.22857142857142865</v>
      </c>
      <c r="Q68" s="98">
        <v>7</v>
      </c>
      <c r="R68" s="100">
        <f>Q68/E68</f>
        <v>5.4263565891472867E-2</v>
      </c>
      <c r="S68" s="98" t="s">
        <v>127</v>
      </c>
      <c r="AU68" s="37"/>
      <c r="AV68" s="37"/>
      <c r="AW68" s="37"/>
      <c r="AX68" s="37"/>
      <c r="AY68" s="37"/>
    </row>
    <row r="69" spans="1:51" s="39" customFormat="1" ht="39.950000000000003" customHeight="1">
      <c r="A69" s="37"/>
      <c r="B69" s="37"/>
      <c r="C69" s="106"/>
      <c r="D69" s="63"/>
      <c r="E69" s="63"/>
      <c r="F69" s="63"/>
      <c r="G69" s="63"/>
      <c r="H69" s="63"/>
      <c r="I69" s="63"/>
      <c r="J69" s="63"/>
      <c r="K69" s="63"/>
      <c r="L69" s="63"/>
      <c r="M69" s="63"/>
      <c r="N69" s="63"/>
      <c r="O69" s="93"/>
      <c r="P69" s="94"/>
      <c r="Q69" s="63"/>
      <c r="R69" s="94"/>
      <c r="S69" s="88"/>
      <c r="AU69" s="37"/>
      <c r="AV69" s="37"/>
      <c r="AW69" s="37"/>
      <c r="AX69" s="37"/>
      <c r="AY69" s="37"/>
    </row>
    <row r="70" spans="1:51" s="39" customFormat="1" ht="39.950000000000003" customHeight="1">
      <c r="A70" s="37"/>
      <c r="B70" s="37"/>
      <c r="C70" s="104" t="s">
        <v>121</v>
      </c>
      <c r="D70" s="78"/>
      <c r="E70" s="89" t="s">
        <v>85</v>
      </c>
      <c r="F70" s="89" t="s">
        <v>114</v>
      </c>
      <c r="G70" s="89" t="s">
        <v>133</v>
      </c>
      <c r="H70" s="89" t="s">
        <v>87</v>
      </c>
      <c r="I70" s="89" t="s">
        <v>88</v>
      </c>
      <c r="J70" s="90" t="s">
        <v>140</v>
      </c>
      <c r="K70" s="89" t="s">
        <v>134</v>
      </c>
      <c r="L70" s="89" t="s">
        <v>135</v>
      </c>
      <c r="M70" s="89" t="s">
        <v>136</v>
      </c>
      <c r="N70" s="90" t="s">
        <v>164</v>
      </c>
      <c r="O70" s="90" t="s">
        <v>165</v>
      </c>
      <c r="P70" s="90" t="s">
        <v>115</v>
      </c>
      <c r="Q70" s="89" t="s">
        <v>137</v>
      </c>
      <c r="R70" s="89" t="s">
        <v>138</v>
      </c>
      <c r="S70" s="89" t="s">
        <v>139</v>
      </c>
      <c r="AU70" s="37"/>
      <c r="AV70" s="37"/>
      <c r="AW70" s="37"/>
      <c r="AX70" s="37"/>
      <c r="AY70" s="37"/>
    </row>
    <row r="71" spans="1:51" s="39" customFormat="1" ht="36" customHeight="1">
      <c r="A71" s="37"/>
      <c r="B71" s="37"/>
      <c r="C71" s="103" t="s">
        <v>69</v>
      </c>
      <c r="D71" s="95"/>
      <c r="E71" s="97">
        <f>VLOOKUP(C71,'Pricelist _ Sep.30.2020'!$B$6:$G$102,6,FALSE)</f>
        <v>3</v>
      </c>
      <c r="F71" s="98">
        <f>E71/H71</f>
        <v>4.2857142857142856</v>
      </c>
      <c r="G71" s="98">
        <v>0.82</v>
      </c>
      <c r="H71" s="98">
        <v>0.7</v>
      </c>
      <c r="I71" s="98">
        <v>0.96</v>
      </c>
      <c r="J71" s="98">
        <v>64.489999999999995</v>
      </c>
      <c r="K71" s="98">
        <v>17.96</v>
      </c>
      <c r="L71" s="98">
        <v>3.36</v>
      </c>
      <c r="M71" s="98">
        <v>3.73</v>
      </c>
      <c r="N71" s="89">
        <v>2.7</v>
      </c>
      <c r="O71" s="89">
        <v>4.8899999999999997</v>
      </c>
      <c r="P71" s="99">
        <f>(E71/4.45)-1</f>
        <v>-0.3258426966292135</v>
      </c>
      <c r="Q71" s="98">
        <v>0.35</v>
      </c>
      <c r="R71" s="100">
        <f>Q71/E71</f>
        <v>0.11666666666666665</v>
      </c>
      <c r="S71" s="98" t="s">
        <v>128</v>
      </c>
      <c r="AU71" s="37"/>
      <c r="AV71" s="37"/>
      <c r="AW71" s="37"/>
      <c r="AX71" s="37"/>
      <c r="AY71" s="37"/>
    </row>
    <row r="72" spans="1:51" s="39" customFormat="1" ht="36" customHeight="1">
      <c r="A72" s="37"/>
      <c r="B72" s="37"/>
      <c r="C72" s="105"/>
      <c r="D72" s="92"/>
      <c r="E72" s="63"/>
      <c r="F72" s="63"/>
      <c r="G72" s="63"/>
      <c r="H72" s="63"/>
      <c r="I72" s="63"/>
      <c r="J72" s="63"/>
      <c r="K72" s="63"/>
      <c r="L72" s="63"/>
      <c r="M72" s="63"/>
      <c r="N72" s="63"/>
      <c r="O72" s="93"/>
      <c r="P72" s="94"/>
      <c r="Q72" s="63"/>
      <c r="R72" s="94"/>
      <c r="S72" s="88"/>
      <c r="AU72" s="37"/>
      <c r="AV72" s="37"/>
      <c r="AW72" s="37"/>
      <c r="AX72" s="37"/>
      <c r="AY72" s="37"/>
    </row>
    <row r="73" spans="1:51" s="39" customFormat="1" ht="39.950000000000003" customHeight="1">
      <c r="A73" s="37"/>
      <c r="B73" s="37"/>
      <c r="C73" s="104" t="s">
        <v>123</v>
      </c>
      <c r="D73" s="78"/>
      <c r="E73" s="89" t="s">
        <v>85</v>
      </c>
      <c r="F73" s="89" t="s">
        <v>114</v>
      </c>
      <c r="G73" s="89" t="s">
        <v>133</v>
      </c>
      <c r="H73" s="89" t="s">
        <v>87</v>
      </c>
      <c r="I73" s="89" t="s">
        <v>88</v>
      </c>
      <c r="J73" s="90" t="s">
        <v>140</v>
      </c>
      <c r="K73" s="89" t="s">
        <v>134</v>
      </c>
      <c r="L73" s="89" t="s">
        <v>135</v>
      </c>
      <c r="M73" s="89" t="s">
        <v>136</v>
      </c>
      <c r="N73" s="90" t="s">
        <v>164</v>
      </c>
      <c r="O73" s="90" t="s">
        <v>165</v>
      </c>
      <c r="P73" s="90" t="s">
        <v>115</v>
      </c>
      <c r="Q73" s="89" t="s">
        <v>137</v>
      </c>
      <c r="R73" s="89" t="s">
        <v>138</v>
      </c>
      <c r="S73" s="89" t="s">
        <v>139</v>
      </c>
      <c r="AU73" s="37"/>
      <c r="AV73" s="37"/>
      <c r="AW73" s="37"/>
      <c r="AX73" s="37"/>
      <c r="AY73" s="37"/>
    </row>
    <row r="74" spans="1:51" s="39" customFormat="1" ht="39.950000000000003" customHeight="1">
      <c r="A74" s="37"/>
      <c r="B74" s="37"/>
      <c r="C74" s="103" t="s">
        <v>1</v>
      </c>
      <c r="D74" s="95"/>
      <c r="E74" s="97">
        <f>VLOOKUP(C74,'Pricelist _ Sep.30.2020'!$B$6:$G$102,6,FALSE)</f>
        <v>4.71</v>
      </c>
      <c r="F74" s="98">
        <f>E74/H74</f>
        <v>5.6071428571428577</v>
      </c>
      <c r="G74" s="98">
        <v>1.0602693233815617</v>
      </c>
      <c r="H74" s="98">
        <v>0.84</v>
      </c>
      <c r="I74" s="98">
        <v>1.5276825182328833</v>
      </c>
      <c r="J74" s="98">
        <v>50.987299999999998</v>
      </c>
      <c r="K74" s="98">
        <v>37.024270000000001</v>
      </c>
      <c r="L74" s="98">
        <v>3.972</v>
      </c>
      <c r="M74" s="98">
        <v>4.1370500000000003</v>
      </c>
      <c r="N74" s="89">
        <v>3.06</v>
      </c>
      <c r="O74" s="89">
        <v>5.5</v>
      </c>
      <c r="P74" s="99">
        <f>(E74/4)-1</f>
        <v>0.17749999999999999</v>
      </c>
      <c r="Q74" s="98">
        <v>0.7</v>
      </c>
      <c r="R74" s="100">
        <f>Q74/E74</f>
        <v>0.14861995753715498</v>
      </c>
      <c r="S74" s="98" t="s">
        <v>127</v>
      </c>
      <c r="AU74" s="37"/>
      <c r="AV74" s="37"/>
      <c r="AW74" s="37"/>
      <c r="AX74" s="37"/>
      <c r="AY74" s="37"/>
    </row>
    <row r="75" spans="1:51" s="39" customFormat="1" ht="39.950000000000003" customHeight="1">
      <c r="A75" s="37"/>
      <c r="B75" s="37"/>
      <c r="C75" s="103" t="s">
        <v>28</v>
      </c>
      <c r="D75" s="95"/>
      <c r="E75" s="97">
        <f>VLOOKUP(C75,'Pricelist _ Sep.30.2020'!$B$6:$G$110,6,FALSE)</f>
        <v>3.33</v>
      </c>
      <c r="F75" s="98">
        <f>E75/H75</f>
        <v>4.0120481927710845</v>
      </c>
      <c r="G75" s="98">
        <v>1.0262907801782972</v>
      </c>
      <c r="H75" s="98">
        <v>0.83</v>
      </c>
      <c r="I75" s="98" t="s">
        <v>107</v>
      </c>
      <c r="J75" s="98">
        <v>57.386839999999999</v>
      </c>
      <c r="K75" s="98">
        <v>33.442570000000003</v>
      </c>
      <c r="L75" s="98">
        <v>2.6389</v>
      </c>
      <c r="M75" s="98">
        <v>2.5780500000000002</v>
      </c>
      <c r="N75" s="89">
        <v>1.9</v>
      </c>
      <c r="O75" s="89">
        <v>3.8</v>
      </c>
      <c r="P75" s="99">
        <f>(E75/2.4)-1</f>
        <v>0.38750000000000018</v>
      </c>
      <c r="Q75" s="98">
        <v>0.5</v>
      </c>
      <c r="R75" s="100">
        <f>Q75/E75</f>
        <v>0.15015015015015015</v>
      </c>
      <c r="S75" s="98" t="s">
        <v>127</v>
      </c>
      <c r="AU75" s="37"/>
      <c r="AV75" s="37"/>
      <c r="AW75" s="37"/>
      <c r="AX75" s="37"/>
      <c r="AY75" s="37"/>
    </row>
    <row r="76" spans="1:51" s="39" customFormat="1" ht="36" customHeight="1">
      <c r="A76" s="37"/>
      <c r="B76" s="37"/>
      <c r="C76" s="105"/>
      <c r="D76" s="92"/>
      <c r="E76" s="63"/>
      <c r="F76" s="63"/>
      <c r="G76" s="63"/>
      <c r="H76" s="63"/>
      <c r="I76" s="63"/>
      <c r="J76" s="63"/>
      <c r="K76" s="63"/>
      <c r="L76" s="63"/>
      <c r="M76" s="63"/>
      <c r="N76" s="63"/>
      <c r="O76" s="93"/>
      <c r="P76" s="94"/>
      <c r="Q76" s="63"/>
      <c r="R76" s="94"/>
      <c r="S76" s="88"/>
      <c r="AU76" s="37"/>
      <c r="AV76" s="37"/>
      <c r="AW76" s="37"/>
      <c r="AX76" s="37"/>
      <c r="AY76" s="37"/>
    </row>
    <row r="77" spans="1:51" s="39" customFormat="1" ht="35.25" customHeight="1">
      <c r="A77" s="37"/>
      <c r="B77" s="37"/>
      <c r="C77" s="104" t="s">
        <v>122</v>
      </c>
      <c r="D77" s="78"/>
      <c r="E77" s="89" t="s">
        <v>85</v>
      </c>
      <c r="F77" s="89" t="s">
        <v>114</v>
      </c>
      <c r="G77" s="89" t="s">
        <v>133</v>
      </c>
      <c r="H77" s="89" t="s">
        <v>87</v>
      </c>
      <c r="I77" s="89" t="s">
        <v>88</v>
      </c>
      <c r="J77" s="90" t="s">
        <v>140</v>
      </c>
      <c r="K77" s="89" t="s">
        <v>134</v>
      </c>
      <c r="L77" s="89" t="s">
        <v>135</v>
      </c>
      <c r="M77" s="89" t="s">
        <v>136</v>
      </c>
      <c r="N77" s="90" t="s">
        <v>164</v>
      </c>
      <c r="O77" s="90" t="s">
        <v>165</v>
      </c>
      <c r="P77" s="90" t="s">
        <v>115</v>
      </c>
      <c r="Q77" s="89" t="s">
        <v>137</v>
      </c>
      <c r="R77" s="89" t="s">
        <v>138</v>
      </c>
      <c r="S77" s="89" t="s">
        <v>139</v>
      </c>
      <c r="AU77" s="37"/>
      <c r="AV77" s="37"/>
      <c r="AW77" s="37"/>
      <c r="AX77" s="37"/>
      <c r="AY77" s="37"/>
    </row>
    <row r="78" spans="1:51" s="39" customFormat="1" ht="39.950000000000003" customHeight="1">
      <c r="A78" s="37"/>
      <c r="B78" s="37"/>
      <c r="C78" s="103" t="s">
        <v>64</v>
      </c>
      <c r="D78" s="95"/>
      <c r="E78" s="97">
        <f>VLOOKUP(C78,'Pricelist _ Sep.30.2020'!$B$6:$G$102,6,FALSE)</f>
        <v>3.53</v>
      </c>
      <c r="F78" s="98">
        <f>E78/H78</f>
        <v>17.649999999999999</v>
      </c>
      <c r="G78" s="98">
        <v>0.54987712071699424</v>
      </c>
      <c r="H78" s="98">
        <v>0.2</v>
      </c>
      <c r="I78" s="98">
        <v>3.5099257180519094</v>
      </c>
      <c r="J78" s="98">
        <v>58.606279999999998</v>
      </c>
      <c r="K78" s="98">
        <v>57.858519999999999</v>
      </c>
      <c r="L78" s="98">
        <v>2.9961000000000002</v>
      </c>
      <c r="M78" s="98">
        <v>2.9257499999999999</v>
      </c>
      <c r="N78" s="89">
        <v>2.21</v>
      </c>
      <c r="O78" s="89">
        <v>4.5</v>
      </c>
      <c r="P78" s="99">
        <f>(E78/3.1)-1</f>
        <v>0.1387096774193548</v>
      </c>
      <c r="Q78" s="98">
        <v>0.15</v>
      </c>
      <c r="R78" s="100">
        <f>Q78/E78</f>
        <v>4.2492917847025496E-2</v>
      </c>
      <c r="S78" s="98" t="s">
        <v>127</v>
      </c>
      <c r="AU78" s="37"/>
      <c r="AV78" s="37"/>
      <c r="AW78" s="37"/>
      <c r="AX78" s="37"/>
      <c r="AY78" s="37"/>
    </row>
    <row r="79" spans="1:51" s="39" customFormat="1" ht="39.950000000000003" customHeight="1">
      <c r="A79" s="37"/>
      <c r="B79" s="37"/>
      <c r="C79" s="103" t="s">
        <v>48</v>
      </c>
      <c r="D79" s="95"/>
      <c r="E79" s="97">
        <f>VLOOKUP(C79,'Pricelist _ Sep.30.2020'!$B$6:$G$102,6,FALSE)</f>
        <v>5</v>
      </c>
      <c r="F79" s="98">
        <f t="shared" ref="F79:F81" si="6">E79/H79</f>
        <v>6.4935064935064934</v>
      </c>
      <c r="G79" s="98">
        <v>0.64477733242517565</v>
      </c>
      <c r="H79" s="98">
        <v>0.77</v>
      </c>
      <c r="I79" s="98" t="s">
        <v>107</v>
      </c>
      <c r="J79" s="98">
        <v>46.713749999999997</v>
      </c>
      <c r="K79" s="98">
        <v>69.057100000000005</v>
      </c>
      <c r="L79" s="98">
        <v>5.6719999999999997</v>
      </c>
      <c r="M79" s="98">
        <v>5.4340000000000002</v>
      </c>
      <c r="N79" s="89">
        <v>3.45</v>
      </c>
      <c r="O79" s="89">
        <v>8.6</v>
      </c>
      <c r="P79" s="99">
        <f>(E79/6.1)-1</f>
        <v>-0.18032786885245899</v>
      </c>
      <c r="Q79" s="98">
        <v>0.55000000000000004</v>
      </c>
      <c r="R79" s="100">
        <f t="shared" ref="R79:R80" si="7">Q79/E79</f>
        <v>0.11000000000000001</v>
      </c>
      <c r="S79" s="98" t="s">
        <v>127</v>
      </c>
      <c r="AU79" s="37"/>
      <c r="AV79" s="37"/>
      <c r="AW79" s="37"/>
      <c r="AX79" s="37"/>
      <c r="AY79" s="37"/>
    </row>
    <row r="80" spans="1:51" s="39" customFormat="1" ht="39.950000000000003" customHeight="1">
      <c r="A80" s="37"/>
      <c r="B80" s="37"/>
      <c r="C80" s="103" t="s">
        <v>42</v>
      </c>
      <c r="D80" s="95"/>
      <c r="E80" s="97">
        <f>VLOOKUP(C80,'Pricelist _ Sep.30.2020'!$B$6:$G$102,6,FALSE)</f>
        <v>2.9</v>
      </c>
      <c r="F80" s="98">
        <f t="shared" si="6"/>
        <v>6.9829039248735851</v>
      </c>
      <c r="G80" s="98">
        <v>0.88015697480832211</v>
      </c>
      <c r="H80" s="98">
        <v>0.4153</v>
      </c>
      <c r="I80" s="98" t="s">
        <v>107</v>
      </c>
      <c r="J80" s="98">
        <v>53.514609999999998</v>
      </c>
      <c r="K80" s="98">
        <v>57.352910000000001</v>
      </c>
      <c r="L80" s="98">
        <v>2.8391999999999999</v>
      </c>
      <c r="M80" s="98">
        <v>2.4462999999999999</v>
      </c>
      <c r="N80" s="89">
        <v>1.79</v>
      </c>
      <c r="O80" s="89">
        <v>3.4</v>
      </c>
      <c r="P80" s="99">
        <f>(E80/1.93)-1</f>
        <v>0.50259067357512954</v>
      </c>
      <c r="Q80" s="98">
        <v>0.25</v>
      </c>
      <c r="R80" s="100">
        <f t="shared" si="7"/>
        <v>8.6206896551724144E-2</v>
      </c>
      <c r="S80" s="98" t="s">
        <v>127</v>
      </c>
      <c r="AU80" s="37"/>
      <c r="AV80" s="37"/>
      <c r="AW80" s="37"/>
      <c r="AX80" s="37"/>
      <c r="AY80" s="37"/>
    </row>
    <row r="81" spans="1:51" s="39" customFormat="1" ht="39.950000000000003" customHeight="1">
      <c r="A81" s="37"/>
      <c r="B81" s="37"/>
      <c r="C81" s="103" t="s">
        <v>66</v>
      </c>
      <c r="D81" s="95"/>
      <c r="E81" s="97">
        <f>VLOOKUP(C81,'Pricelist _ Sep.30.2020'!$B$6:$G$102,6,FALSE)</f>
        <v>1.85</v>
      </c>
      <c r="F81" s="98">
        <f t="shared" si="6"/>
        <v>15.416666666666668</v>
      </c>
      <c r="G81" s="98">
        <v>2.7176498656480113</v>
      </c>
      <c r="H81" s="98">
        <v>0.12</v>
      </c>
      <c r="I81" s="98">
        <v>5.6337778897534454</v>
      </c>
      <c r="J81" s="98">
        <v>57.56427</v>
      </c>
      <c r="K81" s="98">
        <v>76.610320000000002</v>
      </c>
      <c r="L81" s="98">
        <v>1.2598</v>
      </c>
      <c r="M81" s="98">
        <v>0.89080000000000004</v>
      </c>
      <c r="N81" s="89">
        <v>0.37</v>
      </c>
      <c r="O81" s="89">
        <v>2.57</v>
      </c>
      <c r="P81" s="99">
        <f>(E81/0.62)-1</f>
        <v>1.9838709677419355</v>
      </c>
      <c r="Q81" s="98" t="s">
        <v>107</v>
      </c>
      <c r="R81" s="100" t="s">
        <v>107</v>
      </c>
      <c r="S81" s="98" t="s">
        <v>132</v>
      </c>
      <c r="AU81" s="37"/>
      <c r="AV81" s="37"/>
      <c r="AW81" s="37"/>
      <c r="AX81" s="37"/>
      <c r="AY81" s="37"/>
    </row>
    <row r="82" spans="1:51" s="39" customFormat="1" ht="36" customHeight="1">
      <c r="A82" s="37"/>
      <c r="B82" s="37"/>
      <c r="C82" s="105"/>
      <c r="D82" s="92"/>
      <c r="E82" s="63"/>
      <c r="F82" s="63"/>
      <c r="G82" s="63"/>
      <c r="H82" s="63"/>
      <c r="I82" s="63"/>
      <c r="J82" s="63"/>
      <c r="K82" s="63"/>
      <c r="L82" s="63"/>
      <c r="M82" s="63"/>
      <c r="N82" s="63"/>
      <c r="O82" s="93"/>
      <c r="P82" s="94"/>
      <c r="Q82" s="63"/>
      <c r="R82" s="94"/>
      <c r="S82" s="88"/>
      <c r="AU82" s="37"/>
      <c r="AV82" s="37"/>
      <c r="AW82" s="37"/>
      <c r="AX82" s="37"/>
      <c r="AY82" s="37"/>
    </row>
    <row r="83" spans="1:51" s="39" customFormat="1" ht="35.25" customHeight="1">
      <c r="A83" s="37"/>
      <c r="B83" s="37"/>
      <c r="C83" s="104" t="s">
        <v>111</v>
      </c>
      <c r="D83" s="78"/>
      <c r="E83" s="89" t="s">
        <v>85</v>
      </c>
      <c r="F83" s="89" t="s">
        <v>114</v>
      </c>
      <c r="G83" s="89" t="s">
        <v>133</v>
      </c>
      <c r="H83" s="89" t="s">
        <v>87</v>
      </c>
      <c r="I83" s="89" t="s">
        <v>88</v>
      </c>
      <c r="J83" s="90" t="s">
        <v>140</v>
      </c>
      <c r="K83" s="89" t="s">
        <v>134</v>
      </c>
      <c r="L83" s="89" t="s">
        <v>135</v>
      </c>
      <c r="M83" s="89" t="s">
        <v>136</v>
      </c>
      <c r="N83" s="90" t="s">
        <v>164</v>
      </c>
      <c r="O83" s="90" t="s">
        <v>165</v>
      </c>
      <c r="P83" s="90" t="s">
        <v>115</v>
      </c>
      <c r="Q83" s="89" t="s">
        <v>137</v>
      </c>
      <c r="R83" s="89" t="s">
        <v>138</v>
      </c>
      <c r="S83" s="89" t="s">
        <v>139</v>
      </c>
      <c r="AU83" s="37"/>
      <c r="AV83" s="37"/>
      <c r="AW83" s="37"/>
      <c r="AX83" s="37"/>
      <c r="AY83" s="37"/>
    </row>
    <row r="84" spans="1:51" s="39" customFormat="1" ht="39.950000000000003" customHeight="1">
      <c r="A84" s="37"/>
      <c r="B84" s="37"/>
      <c r="C84" s="103" t="s">
        <v>2</v>
      </c>
      <c r="D84" s="95"/>
      <c r="E84" s="97">
        <f>VLOOKUP(C84,'Pricelist _ Sep.30.2020'!$B$6:$G$102,6,FALSE)</f>
        <v>0.82</v>
      </c>
      <c r="F84" s="98">
        <f>E84/H84</f>
        <v>1.1855421686746987</v>
      </c>
      <c r="G84" s="98">
        <v>0.20426589279906993</v>
      </c>
      <c r="H84" s="98">
        <v>0.69166666666666665</v>
      </c>
      <c r="I84" s="98" t="s">
        <v>107</v>
      </c>
      <c r="J84" s="98">
        <v>51.449539999999999</v>
      </c>
      <c r="K84" s="98">
        <v>46.809199999999997</v>
      </c>
      <c r="L84" s="98">
        <v>0.83289999999999997</v>
      </c>
      <c r="M84" s="98">
        <v>0.7377416</v>
      </c>
      <c r="N84" s="89">
        <v>0.50833329999999999</v>
      </c>
      <c r="O84" s="89">
        <v>1.06</v>
      </c>
      <c r="P84" s="99">
        <f>(E84/0.6)-1</f>
        <v>0.3666666666666667</v>
      </c>
      <c r="Q84" s="98" t="s">
        <v>107</v>
      </c>
      <c r="R84" s="100" t="s">
        <v>107</v>
      </c>
      <c r="S84" s="98" t="s">
        <v>127</v>
      </c>
      <c r="AU84" s="37"/>
      <c r="AV84" s="37"/>
      <c r="AW84" s="37"/>
      <c r="AX84" s="37"/>
      <c r="AY84" s="37"/>
    </row>
    <row r="85" spans="1:51" s="39" customFormat="1" ht="39.950000000000003" customHeight="1">
      <c r="A85" s="37"/>
      <c r="B85" s="37"/>
      <c r="C85" s="103" t="s">
        <v>77</v>
      </c>
      <c r="D85" s="95"/>
      <c r="E85" s="97">
        <f>VLOOKUP(C85,'Pricelist _ Sep.30.2020'!$B$6:$G$102,6,FALSE)</f>
        <v>0.38</v>
      </c>
      <c r="F85" s="98">
        <f t="shared" ref="F85:F88" si="8">E85/H85</f>
        <v>3.2758620689655169</v>
      </c>
      <c r="G85" s="98">
        <v>0.13225061974715813</v>
      </c>
      <c r="H85" s="98">
        <v>0.11600000000000001</v>
      </c>
      <c r="I85" s="98" t="s">
        <v>107</v>
      </c>
      <c r="J85" s="98">
        <v>42.473379999999999</v>
      </c>
      <c r="K85" s="98">
        <v>63.090020000000003</v>
      </c>
      <c r="L85" s="98">
        <v>0.44779999999999998</v>
      </c>
      <c r="M85" s="98">
        <v>0.46479999999999999</v>
      </c>
      <c r="N85" s="89">
        <v>0.35</v>
      </c>
      <c r="O85" s="89">
        <v>0.63</v>
      </c>
      <c r="P85" s="99">
        <f>(E85/0.53)-1</f>
        <v>-0.28301886792452835</v>
      </c>
      <c r="Q85" s="98" t="s">
        <v>107</v>
      </c>
      <c r="R85" s="100" t="s">
        <v>107</v>
      </c>
      <c r="S85" s="98" t="s">
        <v>127</v>
      </c>
      <c r="AU85" s="37"/>
      <c r="AV85" s="37"/>
      <c r="AW85" s="37"/>
      <c r="AX85" s="37"/>
      <c r="AY85" s="37"/>
    </row>
    <row r="86" spans="1:51" s="39" customFormat="1" ht="39.950000000000003" customHeight="1">
      <c r="A86" s="37"/>
      <c r="B86" s="37"/>
      <c r="C86" s="103" t="s">
        <v>63</v>
      </c>
      <c r="D86" s="95"/>
      <c r="E86" s="97">
        <f>VLOOKUP(C86,'Pricelist _ Sep.30.2020'!$B$6:$G$102,6,FALSE)</f>
        <v>1.9</v>
      </c>
      <c r="F86" s="98">
        <f t="shared" si="8"/>
        <v>7.3076923076923075</v>
      </c>
      <c r="G86" s="98">
        <v>0.64682982749481754</v>
      </c>
      <c r="H86" s="98">
        <v>0.26</v>
      </c>
      <c r="I86" s="98" t="s">
        <v>107</v>
      </c>
      <c r="J86" s="98">
        <v>60.651940000000003</v>
      </c>
      <c r="K86" s="98">
        <v>66.273030000000006</v>
      </c>
      <c r="L86" s="98">
        <v>1.6760999999999999</v>
      </c>
      <c r="M86" s="98">
        <v>1.75545</v>
      </c>
      <c r="N86" s="89">
        <v>1.36</v>
      </c>
      <c r="O86" s="89">
        <v>2.14</v>
      </c>
      <c r="P86" s="99">
        <f>(E86/1.98)-1</f>
        <v>-4.0404040404040442E-2</v>
      </c>
      <c r="Q86" s="98" t="s">
        <v>107</v>
      </c>
      <c r="R86" s="100" t="s">
        <v>107</v>
      </c>
      <c r="S86" s="98" t="s">
        <v>127</v>
      </c>
      <c r="AU86" s="37"/>
      <c r="AV86" s="37"/>
      <c r="AW86" s="37"/>
      <c r="AX86" s="37"/>
      <c r="AY86" s="37"/>
    </row>
    <row r="87" spans="1:51" s="39" customFormat="1" ht="39.950000000000003" customHeight="1">
      <c r="A87" s="37"/>
      <c r="B87" s="37"/>
      <c r="C87" s="103" t="s">
        <v>80</v>
      </c>
      <c r="D87" s="95"/>
      <c r="E87" s="97">
        <f>VLOOKUP(C87,'Pricelist _ Sep.30.2020'!$B$6:$G$102,6,FALSE)</f>
        <v>2.0299999999999998</v>
      </c>
      <c r="F87" s="98">
        <f t="shared" si="8"/>
        <v>3.0489407559270356</v>
      </c>
      <c r="G87" s="98">
        <v>0.76430513809823297</v>
      </c>
      <c r="H87" s="98">
        <v>0.66580499999999998</v>
      </c>
      <c r="I87" s="98" t="s">
        <v>107</v>
      </c>
      <c r="J87" s="98">
        <v>66.354640000000003</v>
      </c>
      <c r="K87" s="98">
        <v>36.57873</v>
      </c>
      <c r="L87" s="98">
        <v>2.0255999999999998</v>
      </c>
      <c r="M87" s="98">
        <v>2.0186000000000002</v>
      </c>
      <c r="N87" s="89">
        <v>1.44</v>
      </c>
      <c r="O87" s="89">
        <v>2.42</v>
      </c>
      <c r="P87" s="99">
        <f>(E87/2.42)-1</f>
        <v>-0.16115702479338845</v>
      </c>
      <c r="Q87" s="98">
        <v>0.15</v>
      </c>
      <c r="R87" s="100">
        <f t="shared" ref="R87" si="9">Q87/E87</f>
        <v>7.3891625615763554E-2</v>
      </c>
      <c r="S87" s="98" t="s">
        <v>127</v>
      </c>
      <c r="AU87" s="37"/>
      <c r="AV87" s="37"/>
      <c r="AW87" s="37"/>
      <c r="AX87" s="37"/>
      <c r="AY87" s="37"/>
    </row>
    <row r="88" spans="1:51" s="39" customFormat="1" ht="39.950000000000003" customHeight="1">
      <c r="A88" s="37"/>
      <c r="B88" s="37"/>
      <c r="C88" s="103" t="s">
        <v>45</v>
      </c>
      <c r="D88" s="95"/>
      <c r="E88" s="97">
        <f>VLOOKUP(C88,'Pricelist _ Sep.30.2020'!$B$6:$G$110,6,FALSE)</f>
        <v>0.37</v>
      </c>
      <c r="F88" s="98">
        <f t="shared" si="8"/>
        <v>18.5</v>
      </c>
      <c r="G88" s="98">
        <v>0.19394157804647355</v>
      </c>
      <c r="H88" s="98">
        <v>0.02</v>
      </c>
      <c r="I88" s="98" t="s">
        <v>107</v>
      </c>
      <c r="J88" s="98">
        <v>52.268380000000001</v>
      </c>
      <c r="K88" s="98">
        <v>33.66489</v>
      </c>
      <c r="L88" s="98">
        <v>0.31009999999999999</v>
      </c>
      <c r="M88" s="98">
        <v>0.31990000000000002</v>
      </c>
      <c r="N88" s="89">
        <v>0.2</v>
      </c>
      <c r="O88" s="89">
        <v>0.4</v>
      </c>
      <c r="P88" s="99">
        <f>(E88/0.34)-1</f>
        <v>8.8235294117646967E-2</v>
      </c>
      <c r="Q88" s="98" t="s">
        <v>107</v>
      </c>
      <c r="R88" s="100" t="s">
        <v>107</v>
      </c>
      <c r="S88" s="98" t="s">
        <v>127</v>
      </c>
      <c r="AU88" s="37"/>
      <c r="AV88" s="37"/>
      <c r="AW88" s="37"/>
      <c r="AX88" s="37"/>
      <c r="AY88" s="37"/>
    </row>
    <row r="89" spans="1:51" s="39" customFormat="1" ht="15" customHeight="1">
      <c r="A89" s="37"/>
      <c r="B89" s="37"/>
      <c r="C89" s="48"/>
      <c r="D89" s="48"/>
      <c r="E89" s="37"/>
      <c r="F89" s="37"/>
      <c r="G89" s="37"/>
      <c r="H89" s="37"/>
      <c r="I89" s="37"/>
      <c r="J89" s="37"/>
      <c r="K89" s="37"/>
      <c r="L89" s="37"/>
      <c r="M89" s="37"/>
      <c r="N89" s="37"/>
      <c r="O89" s="47"/>
      <c r="P89" s="54"/>
      <c r="Q89" s="37"/>
      <c r="R89" s="54"/>
      <c r="S89" s="37"/>
      <c r="AU89" s="37"/>
      <c r="AV89" s="37"/>
      <c r="AW89" s="37"/>
      <c r="AX89" s="37"/>
      <c r="AY89" s="37"/>
    </row>
    <row r="90" spans="1:51" s="39" customFormat="1" ht="30" customHeight="1">
      <c r="A90" s="37"/>
      <c r="B90" s="37"/>
      <c r="C90" s="110" t="s">
        <v>112</v>
      </c>
      <c r="D90" s="110"/>
      <c r="E90" s="110"/>
      <c r="F90" s="110"/>
      <c r="G90" s="110"/>
      <c r="H90" s="110"/>
      <c r="I90" s="110"/>
      <c r="J90" s="110"/>
      <c r="K90" s="110"/>
      <c r="L90" s="110"/>
      <c r="M90" s="110"/>
      <c r="N90" s="110"/>
      <c r="O90" s="110"/>
      <c r="P90" s="110"/>
      <c r="Q90" s="110"/>
      <c r="R90" s="110"/>
      <c r="S90" s="110"/>
      <c r="AU90" s="37"/>
      <c r="AV90" s="37"/>
      <c r="AW90" s="37"/>
      <c r="AX90" s="37"/>
      <c r="AY90" s="37"/>
    </row>
    <row r="91" spans="1:51" s="50" customFormat="1" ht="60.95" customHeight="1">
      <c r="B91" s="49"/>
      <c r="C91" s="110"/>
      <c r="D91" s="110"/>
      <c r="E91" s="110"/>
      <c r="F91" s="110"/>
      <c r="G91" s="110"/>
      <c r="H91" s="110"/>
      <c r="I91" s="110"/>
      <c r="J91" s="110"/>
      <c r="K91" s="110"/>
      <c r="L91" s="110"/>
      <c r="M91" s="110"/>
      <c r="N91" s="110"/>
      <c r="O91" s="110"/>
      <c r="P91" s="110"/>
      <c r="Q91" s="110"/>
      <c r="R91" s="110"/>
      <c r="S91" s="110"/>
    </row>
    <row r="92" spans="1:51" s="50" customFormat="1" ht="30" customHeight="1">
      <c r="B92" s="49"/>
      <c r="C92" s="49"/>
      <c r="D92" s="49"/>
      <c r="E92" s="49"/>
      <c r="F92" s="49"/>
      <c r="G92" s="49"/>
      <c r="H92" s="49"/>
      <c r="I92" s="49"/>
      <c r="J92" s="49"/>
      <c r="K92" s="49"/>
      <c r="L92" s="49"/>
      <c r="M92" s="49"/>
      <c r="N92" s="49"/>
      <c r="O92" s="49"/>
      <c r="P92" s="49"/>
      <c r="Q92" s="49"/>
      <c r="R92" s="49"/>
      <c r="S92" s="49"/>
    </row>
    <row r="93" spans="1:51" s="50" customFormat="1" ht="30" customHeight="1">
      <c r="B93" s="49"/>
      <c r="C93" s="49"/>
      <c r="D93" s="49"/>
      <c r="E93" s="49"/>
      <c r="F93" s="49"/>
      <c r="G93" s="49"/>
      <c r="H93" s="49"/>
      <c r="I93" s="49"/>
      <c r="J93" s="49"/>
      <c r="K93" s="49"/>
      <c r="L93" s="49"/>
      <c r="M93" s="49"/>
      <c r="N93" s="49"/>
      <c r="O93" s="49"/>
      <c r="P93" s="49"/>
      <c r="Q93" s="49"/>
      <c r="R93" s="49"/>
      <c r="S93" s="49"/>
    </row>
    <row r="94" spans="1:51" s="50" customFormat="1" ht="30" customHeight="1">
      <c r="B94" s="49"/>
      <c r="C94" s="49"/>
      <c r="D94" s="49"/>
      <c r="E94" s="49"/>
      <c r="F94" s="49"/>
      <c r="G94" s="49"/>
      <c r="H94" s="49"/>
      <c r="I94" s="49"/>
      <c r="J94" s="49"/>
      <c r="K94" s="49"/>
      <c r="L94" s="49"/>
      <c r="M94" s="49"/>
      <c r="N94" s="49"/>
      <c r="O94" s="49"/>
      <c r="P94" s="49"/>
      <c r="Q94" s="49"/>
      <c r="R94" s="49"/>
      <c r="S94" s="49"/>
    </row>
    <row r="95" spans="1:51" s="50" customFormat="1" ht="30" customHeight="1">
      <c r="B95" s="49"/>
      <c r="C95" s="49"/>
      <c r="D95" s="49"/>
      <c r="E95" s="49"/>
      <c r="F95" s="49"/>
      <c r="G95" s="49"/>
      <c r="H95" s="49"/>
      <c r="I95" s="49"/>
      <c r="J95" s="49"/>
      <c r="K95" s="49"/>
      <c r="L95" s="49"/>
      <c r="M95" s="49"/>
      <c r="N95" s="49"/>
      <c r="O95" s="49"/>
      <c r="P95" s="49"/>
      <c r="Q95" s="49"/>
      <c r="R95" s="49"/>
      <c r="S95" s="49"/>
    </row>
    <row r="96" spans="1:51" s="50" customFormat="1" ht="30" customHeight="1">
      <c r="B96" s="49"/>
      <c r="C96" s="49"/>
      <c r="D96" s="49"/>
      <c r="E96" s="49"/>
      <c r="F96" s="49"/>
      <c r="G96" s="49"/>
      <c r="H96" s="49"/>
      <c r="I96" s="49"/>
      <c r="J96" s="49"/>
      <c r="K96" s="49"/>
      <c r="L96" s="49"/>
      <c r="M96" s="49"/>
      <c r="N96" s="49"/>
      <c r="O96" s="49"/>
      <c r="P96" s="49"/>
      <c r="Q96" s="49"/>
      <c r="R96" s="49"/>
      <c r="S96" s="49"/>
    </row>
    <row r="97" spans="2:19" s="50" customFormat="1" ht="30" customHeight="1">
      <c r="B97" s="49"/>
      <c r="C97" s="49"/>
      <c r="D97" s="49"/>
      <c r="E97" s="49"/>
      <c r="F97" s="49"/>
      <c r="G97" s="49"/>
      <c r="H97" s="49"/>
      <c r="I97" s="49"/>
      <c r="J97" s="49"/>
      <c r="K97" s="49"/>
      <c r="L97" s="49"/>
      <c r="M97" s="49"/>
      <c r="N97" s="49"/>
      <c r="O97" s="49"/>
      <c r="P97" s="49"/>
      <c r="Q97" s="49"/>
      <c r="R97" s="49"/>
      <c r="S97" s="51"/>
    </row>
    <row r="98" spans="2:19" s="50" customFormat="1" ht="30" customHeight="1">
      <c r="B98" s="49"/>
      <c r="C98" s="51"/>
      <c r="D98" s="51"/>
      <c r="E98" s="51"/>
      <c r="F98" s="51"/>
      <c r="G98" s="51"/>
      <c r="H98" s="51"/>
      <c r="I98" s="51"/>
      <c r="J98" s="51"/>
      <c r="K98" s="51"/>
      <c r="L98" s="51"/>
      <c r="M98" s="51"/>
      <c r="N98" s="51"/>
      <c r="O98" s="51"/>
      <c r="P98" s="51"/>
      <c r="Q98" s="51"/>
      <c r="R98" s="51"/>
      <c r="S98" s="51"/>
    </row>
    <row r="99" spans="2:19" s="50" customFormat="1" ht="30" customHeight="1">
      <c r="B99" s="49"/>
      <c r="C99" s="51"/>
      <c r="D99" s="51"/>
      <c r="E99" s="51"/>
      <c r="F99" s="51"/>
      <c r="G99" s="51"/>
      <c r="H99" s="51"/>
      <c r="I99" s="51"/>
      <c r="J99" s="51"/>
      <c r="K99" s="51"/>
      <c r="L99" s="51"/>
      <c r="M99" s="51"/>
      <c r="N99" s="51"/>
      <c r="O99" s="51"/>
      <c r="P99" s="51"/>
      <c r="Q99" s="51"/>
      <c r="R99" s="51"/>
      <c r="S99" s="51"/>
    </row>
    <row r="100" spans="2:19" s="50" customFormat="1" ht="30" customHeight="1">
      <c r="B100" s="49"/>
      <c r="C100" s="51"/>
      <c r="D100" s="51"/>
      <c r="E100" s="51"/>
      <c r="F100" s="51"/>
      <c r="G100" s="51"/>
      <c r="H100" s="51"/>
      <c r="I100" s="51"/>
      <c r="J100" s="51"/>
      <c r="K100" s="51"/>
      <c r="L100" s="51"/>
      <c r="M100" s="51"/>
      <c r="N100" s="51"/>
      <c r="O100" s="51"/>
      <c r="P100" s="51"/>
      <c r="Q100" s="51"/>
      <c r="R100" s="51"/>
      <c r="S100" s="51"/>
    </row>
    <row r="101" spans="2:19" s="50" customFormat="1" ht="30" customHeight="1">
      <c r="B101" s="49"/>
      <c r="C101" s="51"/>
      <c r="D101" s="51"/>
      <c r="E101" s="51"/>
      <c r="F101" s="51"/>
      <c r="G101" s="51"/>
      <c r="H101" s="51"/>
      <c r="I101" s="51"/>
      <c r="J101" s="51"/>
      <c r="K101" s="51"/>
      <c r="L101" s="51"/>
      <c r="M101" s="51"/>
      <c r="N101" s="51"/>
      <c r="O101" s="51"/>
      <c r="P101" s="51"/>
      <c r="Q101" s="51"/>
      <c r="R101" s="51"/>
      <c r="S101" s="51"/>
    </row>
    <row r="102" spans="2:19" s="50" customFormat="1" ht="30" customHeight="1">
      <c r="B102" s="49"/>
      <c r="C102" s="51"/>
      <c r="D102" s="51"/>
      <c r="E102" s="51"/>
      <c r="F102" s="51"/>
      <c r="G102" s="51"/>
      <c r="H102" s="51"/>
      <c r="I102" s="51"/>
      <c r="J102" s="51"/>
      <c r="K102" s="51"/>
      <c r="L102" s="51"/>
      <c r="M102" s="51"/>
      <c r="N102" s="51"/>
      <c r="O102" s="51"/>
      <c r="P102" s="51"/>
      <c r="Q102" s="51"/>
      <c r="R102" s="51"/>
      <c r="S102" s="51"/>
    </row>
    <row r="103" spans="2:19" s="50" customFormat="1" ht="30" customHeight="1">
      <c r="B103" s="49"/>
      <c r="C103" s="49"/>
      <c r="D103" s="49"/>
      <c r="E103" s="49"/>
      <c r="F103" s="49"/>
      <c r="G103" s="49"/>
      <c r="H103" s="49"/>
      <c r="I103" s="49"/>
      <c r="J103" s="49"/>
      <c r="K103" s="49"/>
      <c r="L103" s="49"/>
      <c r="M103" s="49"/>
      <c r="N103" s="49"/>
      <c r="O103" s="49"/>
      <c r="P103" s="49"/>
      <c r="Q103" s="49"/>
      <c r="R103" s="49"/>
      <c r="S103" s="49"/>
    </row>
    <row r="104" spans="2:19" s="52" customFormat="1" ht="30" customHeight="1"/>
    <row r="105" spans="2:19" s="52" customFormat="1" ht="30" customHeight="1"/>
    <row r="106" spans="2:19" s="52" customFormat="1" ht="30" customHeight="1"/>
    <row r="107" spans="2:19" s="52" customFormat="1" ht="30" customHeight="1"/>
    <row r="108" spans="2:19" s="52" customFormat="1" ht="30" customHeight="1"/>
    <row r="109" spans="2:19" s="52" customFormat="1" ht="30" customHeight="1"/>
    <row r="110" spans="2:19" s="52" customFormat="1" ht="30" customHeight="1"/>
    <row r="111" spans="2:19" s="52" customFormat="1" ht="30" customHeight="1"/>
    <row r="112" spans="2:19" s="52" customFormat="1" ht="30" customHeight="1"/>
    <row r="113" s="52" customFormat="1" ht="30" customHeight="1"/>
    <row r="114" s="52" customFormat="1" ht="30" customHeight="1"/>
    <row r="115" s="52" customFormat="1" ht="30" customHeight="1"/>
    <row r="116" s="52" customFormat="1" ht="30" customHeight="1"/>
    <row r="117" s="52" customFormat="1" ht="30" customHeight="1"/>
    <row r="118" s="52" customFormat="1" ht="30" customHeight="1"/>
    <row r="119" s="52" customFormat="1" ht="30" customHeight="1"/>
    <row r="120" s="52" customFormat="1" ht="30" customHeight="1"/>
    <row r="121" s="52" customFormat="1" ht="30" customHeight="1"/>
    <row r="122" s="52" customFormat="1" ht="30" customHeight="1"/>
    <row r="123" s="52" customFormat="1" ht="30" customHeight="1"/>
    <row r="124" s="52" customFormat="1" ht="30" customHeight="1"/>
    <row r="125" s="52" customFormat="1" ht="30" customHeight="1"/>
    <row r="126" s="52" customFormat="1" ht="30" customHeight="1"/>
    <row r="127" s="52" customFormat="1" ht="30" customHeight="1"/>
    <row r="128" s="52" customFormat="1" ht="30" customHeight="1"/>
    <row r="129" s="52" customFormat="1" ht="30" customHeight="1"/>
    <row r="130" s="52" customFormat="1" ht="30" customHeight="1"/>
    <row r="131" s="52" customFormat="1" ht="30" customHeight="1"/>
    <row r="132" s="52" customFormat="1" ht="30" customHeight="1"/>
    <row r="133" s="52" customFormat="1" ht="30" customHeight="1"/>
    <row r="134" s="52" customFormat="1" ht="30" customHeight="1"/>
    <row r="135" s="52" customFormat="1" ht="30" customHeight="1"/>
    <row r="136" s="52" customFormat="1" ht="30" customHeight="1"/>
    <row r="137" s="52" customFormat="1" ht="30" customHeight="1"/>
    <row r="138" s="52" customFormat="1" ht="30" customHeight="1"/>
    <row r="139" s="52" customFormat="1" ht="30" customHeight="1"/>
    <row r="140" s="52" customFormat="1" ht="30" customHeight="1"/>
    <row r="141" s="52" customFormat="1" ht="30" customHeight="1"/>
    <row r="142" s="52" customFormat="1" ht="30" customHeight="1"/>
    <row r="143" s="52" customFormat="1" ht="30" customHeight="1"/>
    <row r="144" s="52" customFormat="1" ht="30" customHeight="1"/>
    <row r="145" s="52" customFormat="1" ht="30" customHeight="1"/>
    <row r="146" s="52" customFormat="1" ht="30" customHeight="1"/>
    <row r="147" s="52" customFormat="1" ht="30" customHeight="1"/>
    <row r="148" s="52" customFormat="1" ht="30" customHeight="1"/>
    <row r="149" s="52" customFormat="1" ht="30" customHeight="1"/>
    <row r="150" s="52" customFormat="1" ht="30" customHeight="1"/>
    <row r="151" s="52" customFormat="1" ht="30" customHeight="1"/>
    <row r="152" s="52" customFormat="1" ht="30" customHeight="1"/>
    <row r="153" s="52" customFormat="1" ht="30" customHeight="1"/>
    <row r="154" s="52" customFormat="1" ht="30" customHeight="1"/>
    <row r="155" s="52" customFormat="1" ht="30" customHeight="1"/>
    <row r="156" s="52" customFormat="1" ht="30" customHeight="1"/>
    <row r="157" s="52" customFormat="1" ht="30" customHeight="1"/>
    <row r="158" s="52" customFormat="1" ht="30" customHeight="1"/>
    <row r="159" s="52" customFormat="1" ht="30" customHeight="1"/>
    <row r="160" s="52" customFormat="1" ht="30" customHeight="1"/>
    <row r="161" s="52" customFormat="1" ht="30" customHeight="1"/>
    <row r="162" s="52" customFormat="1" ht="30" customHeight="1"/>
    <row r="163" s="52" customFormat="1" ht="30" customHeight="1"/>
    <row r="164" s="52" customFormat="1" ht="30" customHeight="1"/>
    <row r="165" s="52" customFormat="1" ht="30" customHeight="1"/>
    <row r="166" s="52" customFormat="1" ht="30" customHeight="1"/>
    <row r="167" s="52" customFormat="1" ht="30" customHeight="1"/>
    <row r="168" s="52" customFormat="1" ht="30" customHeight="1"/>
    <row r="169" s="52" customFormat="1" ht="30" customHeight="1"/>
    <row r="170" s="52" customFormat="1" ht="30" customHeight="1"/>
    <row r="171" s="52" customFormat="1" ht="30" customHeight="1"/>
    <row r="172" s="52" customFormat="1" ht="30" customHeight="1"/>
    <row r="173" s="52" customFormat="1" ht="30" customHeight="1"/>
    <row r="174" s="52" customFormat="1" ht="30" customHeight="1"/>
    <row r="175" s="52" customFormat="1" ht="30" customHeight="1"/>
    <row r="176" s="52" customFormat="1" ht="30" customHeight="1"/>
    <row r="177" s="52" customFormat="1" ht="30" customHeight="1"/>
    <row r="178" s="52" customFormat="1" ht="30" customHeight="1"/>
    <row r="179" s="52" customFormat="1" ht="30" customHeight="1"/>
    <row r="180" s="52" customFormat="1" ht="30" customHeight="1"/>
    <row r="181" s="52" customFormat="1" ht="30" customHeight="1"/>
    <row r="182" s="52" customFormat="1" ht="30" customHeight="1"/>
    <row r="183" s="52" customFormat="1" ht="30" customHeight="1"/>
    <row r="184" s="52" customFormat="1" ht="30" customHeight="1"/>
    <row r="185" s="52" customFormat="1" ht="30" customHeight="1"/>
    <row r="186" s="52" customFormat="1" ht="30" customHeight="1"/>
    <row r="187" s="52" customFormat="1" ht="30" customHeight="1"/>
    <row r="188" s="52" customFormat="1" ht="30" customHeight="1"/>
    <row r="189" s="52" customFormat="1" ht="30" customHeight="1"/>
    <row r="190" s="52" customFormat="1" ht="30" customHeight="1"/>
    <row r="191" s="52" customFormat="1" ht="30" customHeight="1"/>
    <row r="192" s="52" customFormat="1" ht="30" customHeight="1"/>
    <row r="193" s="52" customFormat="1" ht="30" customHeight="1"/>
    <row r="194" s="52" customFormat="1" ht="30" customHeight="1"/>
    <row r="195" s="52" customFormat="1" ht="30" customHeight="1"/>
    <row r="196" s="52" customFormat="1" ht="30" customHeight="1"/>
    <row r="197" s="52" customFormat="1" ht="30" customHeight="1"/>
    <row r="198" s="52" customFormat="1" ht="30" customHeight="1"/>
    <row r="199" s="52" customFormat="1" ht="30" customHeight="1"/>
    <row r="200" s="52" customFormat="1" ht="30" customHeight="1"/>
    <row r="201" s="52" customFormat="1" ht="30" customHeight="1"/>
    <row r="202" s="52" customFormat="1" ht="30" customHeight="1"/>
    <row r="203" s="52" customFormat="1" ht="30" customHeight="1"/>
    <row r="204" s="52" customFormat="1" ht="30" customHeight="1"/>
    <row r="205" s="52" customFormat="1" ht="30" customHeight="1"/>
    <row r="206" s="52" customFormat="1" ht="30" customHeight="1"/>
    <row r="207" s="52" customFormat="1" ht="30" customHeight="1"/>
    <row r="208" s="52" customFormat="1" ht="30" customHeight="1"/>
    <row r="209" s="52" customFormat="1" ht="30" customHeight="1"/>
    <row r="210" s="52" customFormat="1" ht="30" customHeight="1"/>
    <row r="211" s="52" customFormat="1" ht="30" customHeight="1"/>
    <row r="212" s="52" customFormat="1" ht="30" customHeight="1"/>
    <row r="213" s="52" customFormat="1" ht="30" customHeight="1"/>
    <row r="214" s="52" customFormat="1" ht="30" customHeight="1"/>
    <row r="215" s="52" customFormat="1" ht="30" customHeight="1"/>
    <row r="216" s="52" customFormat="1" ht="30" customHeight="1"/>
    <row r="217" s="52" customFormat="1" ht="30" customHeight="1"/>
    <row r="218" s="52" customFormat="1" ht="30" customHeight="1"/>
    <row r="219" s="52" customFormat="1" ht="30" customHeight="1"/>
    <row r="220" s="52" customFormat="1" ht="30" customHeight="1"/>
    <row r="221" s="52" customFormat="1" ht="30" customHeight="1"/>
    <row r="222" s="52" customFormat="1" ht="30" customHeight="1"/>
    <row r="223" s="52" customFormat="1" ht="30" customHeight="1"/>
    <row r="224" s="52" customFormat="1" ht="30" customHeight="1"/>
    <row r="225" s="52" customFormat="1" ht="30" customHeight="1"/>
    <row r="226" s="52" customFormat="1" ht="30" customHeight="1"/>
    <row r="227" s="52" customFormat="1" ht="30" customHeight="1"/>
    <row r="228" s="52" customFormat="1" ht="30" customHeight="1"/>
    <row r="229" s="52" customFormat="1" ht="30" customHeight="1"/>
    <row r="230" s="52" customFormat="1" ht="30" customHeight="1"/>
    <row r="231" s="52" customFormat="1" ht="30" customHeight="1"/>
    <row r="232" s="52" customFormat="1" ht="30" customHeight="1"/>
    <row r="233" s="52" customFormat="1" ht="30" customHeight="1"/>
    <row r="234" s="52" customFormat="1" ht="30" customHeight="1"/>
    <row r="235" s="52" customFormat="1" ht="30" customHeight="1"/>
    <row r="236" s="52" customFormat="1" ht="30" customHeight="1"/>
    <row r="237" s="52" customFormat="1" ht="30" customHeight="1"/>
    <row r="238" s="52" customFormat="1" ht="30" customHeight="1"/>
    <row r="239" s="52" customFormat="1" ht="30" customHeight="1"/>
    <row r="240" s="52" customFormat="1" ht="30" customHeight="1"/>
    <row r="241" s="52" customFormat="1" ht="30" customHeight="1"/>
    <row r="242" s="52" customFormat="1" ht="30" customHeight="1"/>
    <row r="243" s="52" customFormat="1" ht="30" customHeight="1"/>
    <row r="244" s="52" customFormat="1" ht="30" customHeight="1"/>
    <row r="245" s="52" customFormat="1" ht="30" customHeight="1"/>
    <row r="246" s="52" customFormat="1" ht="30" customHeight="1"/>
    <row r="247" s="52" customFormat="1" ht="30" customHeight="1"/>
    <row r="248" s="52" customFormat="1" ht="30" customHeight="1"/>
    <row r="249" s="52" customFormat="1" ht="30" customHeight="1"/>
    <row r="250" s="52" customFormat="1" ht="30" customHeight="1"/>
    <row r="251" s="52" customFormat="1" ht="30" customHeight="1"/>
    <row r="252" s="52" customFormat="1" ht="30" customHeight="1"/>
    <row r="253" s="52" customFormat="1" ht="30" customHeight="1"/>
    <row r="254" s="52" customFormat="1" ht="30" customHeight="1"/>
    <row r="255" s="52" customFormat="1" ht="30" customHeight="1"/>
    <row r="256" s="52" customFormat="1" ht="30" customHeight="1"/>
    <row r="257" s="52" customFormat="1" ht="30" customHeight="1"/>
    <row r="258" s="52" customFormat="1" ht="30" customHeight="1"/>
    <row r="259" s="52" customFormat="1" ht="30" customHeight="1"/>
    <row r="260" s="52" customFormat="1" ht="30" customHeight="1"/>
    <row r="261" s="52" customFormat="1" ht="30" customHeight="1"/>
    <row r="262" s="52" customFormat="1" ht="30" customHeight="1"/>
    <row r="263" s="52" customFormat="1" ht="30" customHeight="1"/>
    <row r="264" s="52" customFormat="1" ht="30" customHeight="1"/>
    <row r="265" s="52" customFormat="1" ht="30" customHeight="1"/>
    <row r="266" s="52" customFormat="1" ht="30" customHeight="1"/>
    <row r="267" s="52" customFormat="1" ht="30" customHeight="1"/>
    <row r="268" s="52" customFormat="1" ht="30" customHeight="1"/>
    <row r="269" s="52" customFormat="1" ht="30" customHeight="1"/>
    <row r="270" s="52" customFormat="1" ht="30" customHeight="1"/>
    <row r="271" s="52" customFormat="1" ht="30" customHeight="1"/>
    <row r="272" s="52" customFormat="1" ht="30" customHeight="1"/>
    <row r="273" s="52" customFormat="1" ht="30" customHeight="1"/>
    <row r="274" s="52" customFormat="1" ht="30" customHeight="1"/>
    <row r="275" s="52" customFormat="1" ht="30" customHeight="1"/>
    <row r="276" s="52" customFormat="1" ht="30" customHeight="1"/>
    <row r="277" s="52" customFormat="1" ht="30" customHeight="1"/>
    <row r="278" s="52" customFormat="1" ht="30" customHeight="1"/>
    <row r="279" s="52" customFormat="1" ht="30" customHeight="1"/>
    <row r="280" s="52" customFormat="1" ht="30" customHeight="1"/>
    <row r="281" s="52" customFormat="1" ht="30" customHeight="1"/>
    <row r="282" s="52" customFormat="1" ht="30" customHeight="1"/>
    <row r="283" s="52" customFormat="1" ht="30" customHeight="1"/>
    <row r="284" s="52" customFormat="1" ht="30" customHeight="1"/>
    <row r="285" s="52" customFormat="1" ht="30" customHeight="1"/>
    <row r="286" s="52" customFormat="1" ht="30" customHeight="1"/>
    <row r="287" s="52" customFormat="1" ht="30" customHeight="1"/>
    <row r="288" s="52" customFormat="1" ht="30" customHeight="1"/>
    <row r="289" s="52" customFormat="1" ht="30" customHeight="1"/>
    <row r="290" s="52" customFormat="1" ht="30" customHeight="1"/>
    <row r="291" s="52" customFormat="1" ht="30" customHeight="1"/>
    <row r="292" s="52" customFormat="1" ht="30" customHeight="1"/>
    <row r="293" s="52" customFormat="1" ht="30" customHeight="1"/>
    <row r="294" s="52" customFormat="1" ht="30" customHeight="1"/>
    <row r="295" s="52" customFormat="1" ht="30" customHeight="1"/>
    <row r="296" s="52" customFormat="1" ht="30" customHeight="1"/>
    <row r="297" s="52" customFormat="1" ht="30" customHeight="1"/>
    <row r="298" s="52" customFormat="1" ht="30" customHeight="1"/>
    <row r="299" s="52" customFormat="1" ht="30" customHeight="1"/>
    <row r="300" s="52" customFormat="1" ht="30" customHeight="1"/>
    <row r="301" s="52" customFormat="1" ht="30" customHeight="1"/>
    <row r="302" s="52" customFormat="1" ht="30" customHeight="1"/>
    <row r="303" s="52" customFormat="1" ht="30" customHeight="1"/>
    <row r="304" s="52" customFormat="1" ht="30" customHeight="1"/>
    <row r="305" s="52" customFormat="1" ht="30" customHeight="1"/>
    <row r="306" s="52" customFormat="1" ht="30" customHeight="1"/>
    <row r="307" s="52" customFormat="1" ht="30" customHeight="1"/>
    <row r="308" s="52" customFormat="1" ht="30" customHeight="1"/>
    <row r="309" s="52" customFormat="1" ht="30" customHeight="1"/>
    <row r="310" s="52" customFormat="1" ht="30" customHeight="1"/>
    <row r="311" s="52" customFormat="1" ht="30" customHeight="1"/>
    <row r="312" s="52" customFormat="1" ht="30" customHeight="1"/>
    <row r="313" s="52" customFormat="1" ht="30" customHeight="1"/>
    <row r="314" s="52" customFormat="1" ht="30" customHeight="1"/>
    <row r="315" s="52" customFormat="1" ht="30" customHeight="1"/>
    <row r="316" s="52" customFormat="1" ht="30" customHeight="1"/>
    <row r="317" s="52" customFormat="1" ht="30" customHeight="1"/>
    <row r="318" s="52" customFormat="1" ht="30" customHeight="1"/>
    <row r="319" s="52" customFormat="1" ht="30" customHeight="1"/>
    <row r="320" s="52" customFormat="1" ht="30" customHeight="1"/>
    <row r="321" s="52" customFormat="1" ht="30" customHeight="1"/>
    <row r="322" s="52" customFormat="1" ht="30" customHeight="1"/>
    <row r="323" s="52" customFormat="1" ht="30" customHeight="1"/>
    <row r="324" s="52" customFormat="1" ht="30" customHeight="1"/>
    <row r="325" s="52" customFormat="1" ht="30" customHeight="1"/>
    <row r="326" s="52" customFormat="1" ht="30" customHeight="1"/>
    <row r="327" s="52" customFormat="1" ht="30" customHeight="1"/>
    <row r="328" s="52" customFormat="1" ht="30" customHeight="1"/>
    <row r="329" s="52" customFormat="1" ht="30" customHeight="1"/>
    <row r="330" s="52" customFormat="1" ht="30" customHeight="1"/>
    <row r="331" s="52" customFormat="1" ht="30" customHeight="1"/>
    <row r="332" s="52" customFormat="1" ht="30" customHeight="1"/>
    <row r="333" s="52" customFormat="1" ht="30" customHeight="1"/>
    <row r="334" s="52" customFormat="1" ht="30" customHeight="1"/>
    <row r="335" s="52" customFormat="1" ht="30" customHeight="1"/>
    <row r="336" s="52" customFormat="1" ht="30" customHeight="1"/>
    <row r="337" s="52" customFormat="1" ht="30" customHeight="1"/>
    <row r="338" s="52" customFormat="1" ht="30" customHeight="1"/>
    <row r="339" s="52" customFormat="1" ht="30" customHeight="1"/>
    <row r="340" s="52" customFormat="1" ht="30" customHeight="1"/>
    <row r="341" s="52" customFormat="1" ht="30" customHeight="1"/>
    <row r="342" s="52" customFormat="1" ht="30" customHeight="1"/>
    <row r="343" s="52" customFormat="1" ht="30" customHeight="1"/>
    <row r="344" s="52" customFormat="1" ht="30" customHeight="1"/>
    <row r="345" s="52" customFormat="1" ht="30" customHeight="1"/>
    <row r="346" s="52" customFormat="1" ht="30" customHeight="1"/>
    <row r="347" s="52" customFormat="1" ht="30" customHeight="1"/>
    <row r="348" s="52" customFormat="1" ht="30" customHeight="1"/>
    <row r="349" s="52" customFormat="1" ht="30" customHeight="1"/>
    <row r="350" s="52" customFormat="1" ht="30" customHeight="1"/>
    <row r="351" s="52" customFormat="1" ht="30" customHeight="1"/>
    <row r="352" s="52" customFormat="1" ht="30" customHeight="1"/>
    <row r="353" s="52" customFormat="1" ht="30" customHeight="1"/>
    <row r="354" s="52" customFormat="1" ht="30" customHeight="1"/>
    <row r="355" s="52" customFormat="1" ht="30" customHeight="1"/>
    <row r="356" s="52" customFormat="1" ht="30" customHeight="1"/>
    <row r="357" s="52" customFormat="1" ht="30" customHeight="1"/>
    <row r="358" s="52" customFormat="1" ht="30" customHeight="1"/>
    <row r="359" s="52" customFormat="1" ht="30" customHeight="1"/>
    <row r="360" s="52" customFormat="1" ht="30" customHeight="1"/>
    <row r="361" s="52" customFormat="1" ht="30" customHeight="1"/>
    <row r="362" s="52" customFormat="1" ht="30" customHeight="1"/>
    <row r="363" s="52" customFormat="1" ht="30" customHeight="1"/>
    <row r="364" s="52" customFormat="1" ht="30" customHeight="1"/>
    <row r="365" s="52" customFormat="1" ht="30" customHeight="1"/>
    <row r="366" s="52" customFormat="1" ht="30" customHeight="1"/>
    <row r="367" s="52" customFormat="1" ht="30" customHeight="1"/>
    <row r="368" s="52" customFormat="1" ht="30" customHeight="1"/>
    <row r="369" s="52" customFormat="1" ht="30" customHeight="1"/>
    <row r="370" s="52" customFormat="1" ht="30" customHeight="1"/>
    <row r="371" s="52" customFormat="1" ht="30" customHeight="1"/>
    <row r="372" s="52" customFormat="1" ht="30" customHeight="1"/>
    <row r="373" s="52" customFormat="1" ht="30" customHeight="1"/>
    <row r="374" s="52" customFormat="1" ht="30" customHeight="1"/>
    <row r="375" s="52" customFormat="1" ht="30" customHeight="1"/>
    <row r="376" s="52" customFormat="1" ht="30" customHeight="1"/>
    <row r="377" s="52" customFormat="1" ht="30" customHeight="1"/>
    <row r="378" s="52" customFormat="1" ht="30" customHeight="1"/>
    <row r="379" s="52" customFormat="1" ht="30" customHeight="1"/>
    <row r="380" s="52" customFormat="1" ht="30" customHeight="1"/>
    <row r="381" s="52" customFormat="1" ht="30" customHeight="1"/>
    <row r="382" s="52" customFormat="1" ht="30" customHeight="1"/>
    <row r="383" s="52" customFormat="1" ht="30" customHeight="1"/>
    <row r="384" s="52" customFormat="1" ht="30" customHeight="1"/>
    <row r="385" s="52" customFormat="1" ht="30" customHeight="1"/>
    <row r="386" s="52" customFormat="1" ht="30" customHeight="1"/>
    <row r="387" s="52" customFormat="1" ht="30" customHeight="1"/>
    <row r="388" s="52" customFormat="1" ht="30" customHeight="1"/>
    <row r="389" s="52" customFormat="1" ht="30" customHeight="1"/>
    <row r="390" s="52" customFormat="1" ht="30" customHeight="1"/>
  </sheetData>
  <sheetProtection algorithmName="SHA-512" hashValue="ZNals8fVcWGIl1W5gyEgNKI4xB+fP6F19+JJVIV1qMmO9NDo94MVXDocPiGNIphZoay1liqp9m/23WfPQzigIQ==" saltValue="nbxdQqWqJqWTJiEVKKkzlA==" spinCount="100000" sheet="1" objects="1" scenarios="1"/>
  <mergeCells count="1">
    <mergeCell ref="C90:S91"/>
  </mergeCells>
  <phoneticPr fontId="39"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Automatically calculates proportion of sales from different sources to total sales in this column for the month in this cell" sqref="E7:S7" xr:uid="{9F08FD4D-0489-4A25-BF92-EDD11D008270}"/>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R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s>
  <printOptions horizontalCentered="1"/>
  <pageMargins left="0.25" right="0.25" top="0.2" bottom="0.2" header="0.2" footer="0.2"/>
  <pageSetup paperSize="5" fitToHeight="0" orientation="landscape" r:id="rId1"/>
  <headerFooter differentFirst="1">
    <oddFooter>Page &amp;P of &amp;N&amp;L&amp;1#&amp;"Calibri"&amp;10 Internal</oddFooter>
    <firstFooter>&amp;L&amp;1#&amp;"Calibri"&amp;10 Internal</first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Sep.30.2020</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Victor Medayedu</cp:lastModifiedBy>
  <cp:lastPrinted>2020-08-28T14:03:00Z</cp:lastPrinted>
  <dcterms:created xsi:type="dcterms:W3CDTF">2015-06-18T15:35:22Z</dcterms:created>
  <dcterms:modified xsi:type="dcterms:W3CDTF">2020-09-30T13:56:30Z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